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C:\Users\Jason Li\Desktop\CMRT\"/>
    </mc:Choice>
  </mc:AlternateContent>
  <xr:revisionPtr revIDLastSave="0" documentId="13_ncr:1_{71E334F0-AA55-47AF-A4BE-21AE287AEC2F}"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8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V6" i="5"/>
  <c r="J6" i="5"/>
  <c r="E6" i="5"/>
  <c r="S6" i="5"/>
  <c r="T6" i="5"/>
  <c r="V7" i="5"/>
  <c r="J7" i="5"/>
  <c r="E7" i="5"/>
  <c r="S7" i="5"/>
  <c r="T7" i="5"/>
  <c r="V8" i="5"/>
  <c r="J8" i="5"/>
  <c r="E8" i="5"/>
  <c r="S8" i="5"/>
  <c r="T8" i="5"/>
  <c r="V9" i="5"/>
  <c r="J9" i="5"/>
  <c r="E9" i="5"/>
  <c r="S9" i="5"/>
  <c r="T9" i="5"/>
  <c r="V10" i="5"/>
  <c r="J10" i="5"/>
  <c r="E10" i="5"/>
  <c r="S10" i="5"/>
  <c r="T10" i="5"/>
  <c r="V11" i="5"/>
  <c r="J11" i="5"/>
  <c r="E11" i="5"/>
  <c r="S11" i="5"/>
  <c r="T11" i="5"/>
  <c r="V12" i="5"/>
  <c r="J12" i="5"/>
  <c r="E12" i="5"/>
  <c r="S12" i="5"/>
  <c r="T12" i="5"/>
  <c r="V13" i="5"/>
  <c r="J13" i="5"/>
  <c r="E13" i="5"/>
  <c r="S13" i="5"/>
  <c r="T13" i="5"/>
  <c r="V14" i="5"/>
  <c r="J14" i="5"/>
  <c r="E14" i="5"/>
  <c r="S14" i="5"/>
  <c r="T14" i="5"/>
  <c r="V15" i="5"/>
  <c r="J15" i="5"/>
  <c r="E15" i="5"/>
  <c r="S15" i="5"/>
  <c r="T15" i="5"/>
  <c r="V16" i="5"/>
  <c r="J16" i="5"/>
  <c r="E16" i="5"/>
  <c r="S16" i="5"/>
  <c r="T16" i="5"/>
  <c r="V17" i="5"/>
  <c r="J17" i="5"/>
  <c r="E17" i="5"/>
  <c r="S17" i="5"/>
  <c r="T17" i="5"/>
  <c r="V18" i="5"/>
  <c r="J18" i="5"/>
  <c r="E18" i="5"/>
  <c r="S18" i="5"/>
  <c r="T18" i="5"/>
  <c r="V19" i="5"/>
  <c r="J19" i="5"/>
  <c r="E19" i="5"/>
  <c r="S19" i="5"/>
  <c r="T19" i="5"/>
  <c r="V20" i="5"/>
  <c r="J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J5" i="5"/>
  <c r="E5" i="5"/>
  <c r="S5" i="5"/>
  <c r="T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5" i="8"/>
  <c r="K5"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F16" i="5"/>
  <c r="I10" i="5"/>
  <c r="F10" i="5"/>
  <c r="R10" i="5"/>
  <c r="H10" i="5"/>
  <c r="H13" i="5"/>
  <c r="R13" i="5"/>
  <c r="I13" i="5"/>
  <c r="F13" i="5"/>
  <c r="H7" i="5"/>
  <c r="R7" i="5"/>
  <c r="F7" i="5"/>
  <c r="I7" i="5"/>
  <c r="H17" i="5"/>
  <c r="I17" i="5"/>
  <c r="R17" i="5"/>
  <c r="F17" i="5"/>
  <c r="G66" i="6"/>
  <c r="H66" i="6"/>
  <c r="C66" i="6"/>
  <c r="G67" i="6"/>
  <c r="H67" i="6"/>
  <c r="D67" i="6"/>
  <c r="G65" i="6"/>
  <c r="H65" i="6"/>
  <c r="C65" i="6"/>
  <c r="I12" i="5"/>
  <c r="R12" i="5"/>
  <c r="F12" i="5"/>
  <c r="H12" i="5"/>
  <c r="H9" i="5"/>
  <c r="I9" i="5"/>
  <c r="R9" i="5"/>
  <c r="F9" i="5"/>
  <c r="R8" i="5"/>
  <c r="H8" i="5"/>
  <c r="I8" i="5"/>
  <c r="F8" i="5"/>
  <c r="H15" i="5"/>
  <c r="I15" i="5"/>
  <c r="F15" i="5"/>
  <c r="R15" i="5"/>
  <c r="H11" i="5"/>
  <c r="R11" i="5"/>
  <c r="F11" i="5"/>
  <c r="I11" i="5"/>
  <c r="I14" i="5"/>
  <c r="R14" i="5"/>
  <c r="H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<sst xmlns="http://schemas.openxmlformats.org/spreadsheetml/2006/main" count="22361" uniqueCount="15828">
  <si>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</si>
  <si>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</si>
  <si>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</si>
  <si>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</si>
  <si>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</si>
  <si>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</si>
  <si>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</si>
  <si>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</si>
  <si>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</si>
  <si>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</si>
  <si>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</si>
  <si>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</si>
  <si>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</si>
  <si>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</si>
  <si>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</si>
  <si>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</si>
  <si>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</si>
  <si>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</si>
  <si>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</si>
  <si>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</si>
  <si>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</si>
  <si>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</si>
  <si>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</si>
  <si>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</si>
  <si>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</si>
  <si>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</si>
  <si>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</si>
  <si>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</si>
  <si>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</si>
  <si>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</si>
  <si>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</si>
  <si>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</si>
  <si>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</si>
  <si>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</si>
  <si>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</si>
  <si>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</si>
  <si>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</si>
  <si>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</si>
  <si>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</si>
  <si>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</si>
  <si>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</si>
  <si>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</si>
  <si>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</si>
  <si>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</si>
  <si>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</si>
  <si>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</si>
  <si>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</si>
  <si>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</si>
  <si>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</si>
  <si>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</si>
  <si>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</si>
  <si>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</si>
  <si>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</si>
  <si>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</si>
  <si>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</si>
  <si>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</si>
  <si>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</si>
  <si>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</si>
  <si>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</si>
  <si>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</si>
  <si>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</si>
  <si>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</si>
  <si>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</si>
  <si>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</si>
  <si>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</si>
  <si>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</si>
  <si>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</si>
  <si>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</si>
  <si>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</si>
  <si>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</si>
  <si>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</si>
  <si>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</si>
  <si>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</si>
  <si>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</si>
  <si>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</si>
  <si>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</si>
  <si>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</si>
  <si>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</si>
  <si>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</si>
  <si>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</si>
  <si>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</si>
  <si>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</si>
  <si>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</si>
  <si>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</si>
  <si>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</si>
  <si>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</si>
  <si>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</si>
  <si>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</si>
  <si>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</si>
  <si>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</si>
  <si>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</si>
  <si>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</si>
  <si>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</si>
  <si>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</si>
  <si>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</si>
  <si>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</si>
  <si>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</si>
  <si>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</si>
  <si>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</si>
  <si>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</si>
  <si>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</si>
  <si>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</si>
  <si>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</si>
  <si>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</si>
  <si>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</si>
  <si>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</si>
  <si>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</si>
  <si>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</si>
  <si>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</si>
  <si>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</si>
  <si>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</si>
  <si>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</si>
  <si>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</si>
  <si>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</si>
  <si>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</si>
  <si>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</si>
  <si>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</si>
  <si>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</si>
  <si>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</si>
  <si>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</si>
  <si>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</si>
  <si>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</si>
  <si>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</si>
  <si>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</si>
  <si>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</si>
  <si>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</si>
  <si>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</si>
  <si>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</si>
  <si>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</si>
  <si>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</si>
  <si>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</si>
  <si>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</si>
  <si>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</si>
  <si>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</si>
  <si>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</si>
  <si>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</si>
  <si>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</si>
  <si>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</si>
  <si>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</si>
  <si>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</si>
  <si>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</si>
  <si>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</si>
  <si>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</si>
  <si>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</si>
  <si>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</si>
  <si>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</si>
  <si>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</si>
  <si>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</si>
  <si>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</si>
  <si>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</si>
  <si>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</si>
  <si>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</si>
  <si>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</si>
  <si>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</si>
  <si>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</si>
  <si>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</si>
  <si>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</si>
  <si>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</si>
  <si>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</si>
  <si>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</si>
  <si>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</si>
  <si>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</si>
  <si>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</si>
  <si>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</si>
  <si>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</si>
  <si>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</si>
  <si>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</si>
  <si>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</si>
  <si>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</si>
  <si>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</si>
  <si>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</si>
  <si>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</si>
  <si>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</si>
  <si>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</si>
  <si>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</si>
  <si>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</si>
  <si>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</si>
  <si>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</si>
  <si>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</si>
  <si>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</si>
  <si>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</si>
  <si>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</si>
  <si>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</si>
  <si>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</si>
  <si>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</si>
  <si>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</si>
  <si>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</si>
  <si>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</si>
  <si>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</si>
  <si>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</si>
  <si>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</si>
  <si>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</si>
  <si>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</si>
  <si>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</si>
  <si>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</si>
  <si>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</si>
  <si>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</si>
  <si>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</si>
  <si>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</si>
  <si>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</si>
  <si>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</si>
  <si>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</si>
  <si>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</si>
  <si>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</si>
  <si>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</si>
  <si>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</si>
  <si>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</si>
  <si>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</si>
  <si>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</si>
  <si>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</si>
  <si>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</si>
  <si>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</si>
  <si>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</si>
  <si>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</si>
  <si>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</si>
  <si>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</si>
  <si>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</si>
  <si>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</si>
  <si>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</si>
  <si>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</si>
  <si>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</si>
  <si>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</si>
  <si>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</si>
  <si>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</si>
  <si>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</si>
  <si>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</si>
  <si>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</si>
  <si>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</si>
  <si>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</si>
  <si>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</si>
  <si>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</si>
  <si>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</si>
  <si>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</si>
  <si>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</si>
  <si>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</si>
  <si>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</si>
  <si>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</si>
  <si>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</si>
  <si>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</si>
  <si>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</si>
  <si>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</si>
  <si>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</si>
  <si>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</si>
  <si>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</si>
  <si>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</si>
  <si>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</si>
  <si>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</si>
  <si>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</si>
  <si>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</si>
  <si>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</si>
  <si>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</si>
  <si>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</si>
  <si>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</si>
  <si>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</si>
  <si>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</si>
  <si>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</si>
  <si>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</si>
  <si>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</si>
  <si>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</si>
  <si>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</si>
  <si>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</si>
  <si>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</si>
  <si>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</si>
  <si>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</si>
  <si>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</si>
  <si>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</si>
  <si>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</si>
  <si>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</si>
  <si>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</si>
  <si>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</si>
  <si>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</si>
  <si>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</si>
  <si>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</si>
  <si>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</si>
  <si>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</si>
  <si>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</si>
  <si>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</si>
  <si>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</si>
  <si>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</si>
  <si>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</si>
  <si>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</si>
  <si>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</si>
  <si>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</si>
  <si>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</si>
  <si>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</si>
  <si>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</si>
  <si>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</si>
  <si>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</si>
  <si>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</si>
  <si>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</si>
  <si>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</si>
  <si>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</si>
  <si>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</si>
  <si>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</si>
  <si>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</si>
  <si>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</si>
  <si>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</si>
  <si>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</si>
  <si>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</si>
  <si>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</si>
  <si>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</si>
  <si>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</si>
  <si>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</si>
  <si>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</si>
  <si>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</si>
  <si>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</si>
  <si>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</si>
  <si>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</si>
  <si>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</si>
  <si>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</si>
  <si>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</si>
  <si>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</si>
  <si>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</si>
  <si>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</si>
  <si>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</si>
  <si>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</si>
  <si>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</si>
  <si>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</si>
  <si>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</si>
  <si>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</si>
  <si>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</si>
  <si>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</si>
  <si>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</si>
  <si>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</si>
  <si>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</si>
  <si>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</si>
  <si>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</si>
  <si>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</si>
  <si>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</si>
  <si>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</si>
  <si>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</si>
  <si>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</si>
  <si>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</si>
  <si>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</si>
  <si>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</si>
  <si>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</si>
  <si>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</si>
  <si>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</si>
  <si>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</si>
  <si>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</si>
  <si>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</si>
  <si>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</si>
  <si>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</si>
  <si>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</si>
  <si>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</si>
  <si>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</si>
  <si>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</si>
  <si>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</si>
  <si>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</si>
  <si>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</si>
  <si>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</si>
  <si>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</si>
  <si>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</si>
  <si>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</si>
  <si>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</si>
  <si>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</si>
  <si>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</si>
  <si>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</si>
  <si>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</si>
  <si>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</si>
  <si>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</si>
  <si>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</si>
  <si>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</si>
  <si>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</si>
  <si>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</si>
  <si>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</si>
  <si>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</si>
  <si>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</si>
  <si>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</si>
  <si>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</si>
  <si>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</si>
  <si>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</si>
  <si>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</si>
  <si>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</si>
  <si>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</si>
  <si>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</si>
  <si>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</si>
  <si>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</si>
  <si>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</si>
  <si>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</si>
  <si>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</si>
  <si>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</si>
  <si>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</si>
  <si>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</si>
  <si>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</si>
  <si>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</si>
  <si>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</si>
  <si>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</si>
  <si>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</si>
  <si>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</si>
  <si>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</si>
  <si>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</si>
  <si>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</si>
  <si>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</si>
  <si>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</si>
  <si>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</si>
  <si>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</si>
  <si>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</si>
  <si>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</si>
  <si>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</si>
  <si>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</si>
  <si>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</si>
  <si>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</si>
  <si>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</si>
  <si>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</si>
  <si>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</si>
  <si>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</si>
  <si>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</si>
  <si>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</si>
  <si>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</si>
  <si>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</si>
  <si>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</si>
  <si>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</si>
  <si>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</si>
  <si>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</si>
  <si>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</si>
  <si>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</si>
  <si>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</si>
  <si>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</si>
  <si>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</si>
  <si>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</si>
  <si>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</si>
  <si>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</si>
  <si>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</si>
  <si>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</si>
  <si>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</si>
  <si>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</si>
  <si>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</si>
  <si>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</si>
  <si>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</si>
  <si>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</si>
  <si>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</si>
  <si>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</si>
  <si>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</si>
  <si>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</si>
  <si>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</si>
  <si>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</si>
  <si>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</si>
  <si>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</si>
  <si>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</si>
  <si>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</si>
  <si>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</si>
  <si>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</si>
  <si>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</si>
  <si>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</si>
  <si>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</si>
  <si>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</si>
  <si>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</si>
  <si>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</si>
  <si>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</si>
  <si>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</si>
  <si>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</si>
  <si>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</si>
  <si>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</si>
  <si>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</si>
  <si>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</si>
  <si>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</si>
  <si>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</si>
  <si>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</si>
  <si>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</si>
  <si>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</si>
  <si>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</si>
  <si>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</si>
  <si>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</si>
  <si>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</si>
  <si>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</si>
  <si>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</si>
  <si>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</si>
  <si>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</si>
  <si>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</si>
  <si>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</si>
  <si>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</si>
  <si>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</si>
  <si>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</si>
  <si>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</si>
  <si>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</si>
  <si>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</si>
  <si>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</si>
  <si>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</si>
  <si>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</si>
  <si>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</si>
  <si>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</si>
  <si>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</si>
  <si>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</si>
  <si>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</si>
  <si>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</si>
  <si>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</si>
  <si>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</si>
  <si>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</si>
  <si>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</si>
  <si>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</si>
  <si>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</si>
  <si>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</si>
  <si>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</si>
  <si>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</si>
  <si>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</si>
  <si>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</si>
  <si>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</si>
  <si>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</si>
  <si>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</si>
  <si>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</si>
  <si>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</si>
  <si>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</si>
  <si>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</si>
  <si>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</si>
  <si>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</si>
  <si>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</si>
  <si>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</si>
  <si>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</si>
  <si>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</si>
  <si>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</si>
  <si>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</si>
  <si>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</si>
  <si>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</si>
  <si>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</si>
  <si>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</si>
  <si>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</si>
  <si>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</si>
  <si>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</si>
  <si>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</si>
  <si>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</si>
  <si>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</si>
  <si>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</si>
  <si>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</si>
  <si>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</si>
  <si>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</si>
  <si>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</si>
  <si>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</si>
  <si>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</si>
  <si>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</si>
  <si>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</si>
  <si>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</si>
  <si>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</si>
  <si>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</si>
  <si>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</si>
  <si>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</si>
  <si>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</si>
  <si>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</si>
  <si>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</si>
  <si>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</si>
  <si>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</si>
  <si>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</si>
  <si>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</si>
  <si>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</si>
  <si>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</si>
  <si>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</si>
  <si>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</si>
  <si>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</si>
  <si>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</si>
  <si>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</si>
  <si>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</si>
  <si>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</si>
  <si>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</si>
  <si>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</si>
  <si>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</si>
  <si>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</si>
  <si>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</si>
  <si>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</si>
  <si>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</si>
  <si>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</si>
  <si>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</si>
  <si>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</si>
  <si>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</si>
  <si>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</si>
  <si>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</si>
  <si>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</si>
  <si>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</si>
  <si>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</si>
  <si>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</si>
  <si>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</si>
  <si>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</si>
  <si>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</si>
  <si>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</si>
  <si>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</si>
  <si>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</si>
  <si>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</si>
  <si>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</si>
  <si>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</si>
  <si>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</si>
  <si>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</si>
  <si>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</si>
  <si>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</si>
  <si>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</si>
  <si>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</si>
  <si>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</si>
  <si>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</si>
  <si>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</si>
  <si>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</si>
  <si>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</si>
  <si>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</si>
  <si>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</si>
  <si>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</si>
  <si>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</si>
  <si>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</si>
  <si>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</si>
  <si>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</si>
  <si>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</si>
  <si>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</si>
  <si>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</si>
  <si>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</si>
  <si>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</si>
  <si>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</si>
  <si>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</si>
  <si>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</si>
  <si>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</si>
  <si>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</si>
  <si>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</si>
  <si>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</si>
  <si>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</si>
  <si>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</si>
  <si>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</si>
  <si>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</si>
  <si>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</si>
  <si>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</si>
  <si>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</si>
  <si>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</si>
  <si>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</si>
  <si>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</si>
  <si>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</si>
  <si>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</si>
  <si>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</si>
  <si>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</si>
  <si>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</si>
  <si>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</si>
  <si>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</si>
  <si>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</si>
  <si>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</si>
  <si>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</si>
  <si>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</si>
  <si>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</si>
  <si>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</si>
  <si>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</si>
  <si>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</si>
  <si>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</si>
  <si>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</si>
  <si>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</si>
  <si>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</si>
  <si>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</si>
  <si>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</si>
  <si>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</si>
  <si>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</si>
  <si>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</si>
  <si>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</si>
  <si>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</si>
  <si>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</si>
  <si>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</si>
  <si>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</si>
  <si>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</si>
  <si>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</si>
  <si>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</si>
  <si>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</si>
  <si>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</si>
  <si>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</si>
  <si>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</si>
  <si>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</si>
  <si>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</si>
  <si>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</si>
  <si>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</si>
  <si>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</si>
  <si>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</si>
  <si>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</si>
  <si>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</si>
  <si>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</si>
  <si>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</si>
  <si>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</si>
  <si>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</si>
  <si>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</si>
  <si>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</si>
  <si>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</si>
  <si>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</si>
  <si>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</si>
  <si>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</si>
  <si>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</si>
  <si>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</si>
  <si>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</si>
  <si>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</si>
  <si>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</si>
  <si>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</si>
  <si>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</si>
  <si>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</si>
  <si>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</si>
  <si>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</si>
  <si>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</si>
  <si>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</si>
  <si>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</si>
  <si>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</si>
  <si>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</si>
  <si>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</si>
  <si>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</si>
  <si>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</si>
  <si>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</si>
  <si>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</si>
  <si>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</si>
  <si>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</si>
  <si>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</si>
  <si>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</si>
  <si>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</si>
  <si>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</si>
  <si>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</si>
  <si>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</si>
  <si>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</si>
  <si>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</si>
  <si>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</si>
  <si>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</si>
  <si>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</si>
  <si>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</si>
  <si>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</si>
  <si>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</si>
  <si>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</si>
  <si>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</si>
  <si>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</si>
  <si>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</si>
  <si>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</si>
  <si>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</si>
  <si>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</si>
  <si>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</si>
  <si>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</si>
  <si>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</si>
  <si>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</si>
  <si>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</si>
  <si>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</si>
  <si>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</si>
  <si>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</si>
  <si>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</si>
  <si>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</si>
  <si>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</si>
  <si>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</si>
  <si>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</si>
  <si>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</si>
  <si>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</si>
  <si>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</si>
  <si>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</si>
  <si>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</si>
  <si>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</si>
  <si>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</si>
  <si>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</si>
  <si>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</si>
  <si>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</si>
  <si>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</si>
  <si>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</si>
  <si>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</si>
  <si>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</si>
  <si>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</si>
  <si>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</si>
  <si>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</si>
  <si>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</si>
  <si>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</si>
  <si>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</si>
  <si>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</si>
  <si>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</si>
  <si>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</si>
  <si>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</si>
  <si>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</si>
  <si>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</si>
  <si>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</si>
  <si>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</si>
  <si>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</si>
  <si>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</si>
  <si>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</si>
  <si>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</si>
  <si>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</si>
  <si>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</si>
  <si>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</si>
  <si>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</si>
  <si>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</si>
  <si>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</si>
  <si>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</si>
  <si>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</si>
  <si>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</si>
  <si>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</si>
  <si>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</si>
  <si>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</si>
  <si>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</si>
  <si>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</si>
  <si>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</si>
  <si>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</si>
  <si>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</si>
  <si>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</si>
  <si>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</si>
  <si>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</si>
  <si>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</si>
  <si>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</si>
  <si>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</si>
  <si>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</si>
  <si>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</si>
  <si>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</si>
  <si>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</si>
  <si>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</si>
  <si>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</si>
  <si>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</si>
  <si>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</si>
  <si>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</si>
  <si>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</si>
  <si>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</si>
  <si>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</si>
  <si>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</si>
  <si>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</si>
  <si>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</si>
  <si>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</si>
  <si>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</si>
  <si>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</si>
  <si>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</si>
  <si>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</si>
  <si>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</si>
  <si>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</si>
  <si>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</si>
  <si>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</si>
  <si>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</si>
  <si>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</si>
  <si>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</si>
  <si>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</si>
  <si>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</si>
  <si>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</si>
  <si>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</si>
  <si>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</si>
  <si>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</si>
  <si>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</si>
  <si>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</si>
  <si>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</si>
  <si>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</si>
  <si>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</si>
  <si>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</si>
  <si>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</si>
  <si>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</si>
  <si>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</si>
  <si>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</si>
  <si>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</si>
  <si>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</si>
  <si>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</si>
  <si>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</si>
  <si>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</si>
  <si>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</si>
  <si>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</si>
  <si>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</si>
  <si>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</si>
  <si>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</si>
  <si>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</si>
  <si>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</si>
  <si>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</si>
  <si>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</si>
  <si>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</si>
  <si>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</si>
  <si>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</si>
  <si>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</si>
  <si>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</si>
  <si>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</si>
  <si>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</si>
  <si>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</si>
  <si>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</si>
  <si>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</si>
  <si>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</si>
  <si>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</si>
  <si>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</si>
  <si>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</si>
  <si>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</si>
  <si>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</si>
  <si>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</si>
  <si>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</si>
  <si>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</si>
  <si>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</si>
  <si>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</si>
  <si>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</si>
  <si>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</si>
  <si>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</si>
  <si>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</si>
  <si>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</si>
  <si>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</si>
  <si>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</si>
  <si>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</si>
  <si>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</si>
  <si>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</si>
  <si>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</si>
  <si>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</si>
  <si>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</si>
  <si>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</si>
  <si>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</si>
  <si>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</si>
  <si>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</si>
  <si>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</si>
  <si>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</si>
  <si>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</si>
  <si>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</si>
  <si>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</si>
  <si>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</si>
  <si>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</si>
  <si>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</si>
  <si>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</si>
  <si>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</si>
  <si>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</si>
  <si>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</si>
  <si>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</si>
  <si>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</si>
  <si>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</si>
  <si>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</si>
  <si>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</si>
  <si>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</si>
  <si>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</si>
  <si>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</si>
  <si>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</si>
  <si>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</si>
  <si>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</si>
  <si>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</si>
  <si>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</si>
  <si>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</si>
  <si>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</si>
  <si>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</si>
  <si>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</si>
  <si>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</si>
  <si>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</si>
  <si>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</si>
  <si>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</si>
  <si>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</si>
  <si>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</si>
  <si>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</si>
  <si>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</si>
  <si>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</si>
  <si>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</si>
  <si>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</si>
  <si>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</si>
  <si>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</si>
  <si>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</si>
  <si>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</si>
  <si>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</si>
  <si>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</si>
  <si>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</si>
  <si>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</si>
  <si>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</si>
  <si>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</si>
  <si>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</si>
  <si>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</si>
  <si>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</si>
  <si>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</si>
  <si>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</si>
  <si>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</si>
  <si>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</si>
  <si>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</si>
  <si>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</si>
  <si>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</si>
  <si>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</si>
  <si>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</si>
  <si>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</si>
  <si>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</si>
  <si>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</si>
  <si>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</si>
  <si>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</si>
  <si>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</si>
  <si>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</si>
  <si>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</si>
  <si>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</si>
  <si>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</si>
  <si>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</si>
  <si>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</si>
  <si>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</si>
  <si>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</si>
  <si>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</si>
  <si>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</si>
  <si>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</si>
  <si>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</si>
  <si>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</si>
  <si>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</si>
  <si>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</si>
  <si>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</si>
  <si>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</si>
  <si>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</si>
  <si>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</si>
  <si>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</si>
  <si>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</si>
  <si>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</si>
  <si>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</si>
  <si>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</si>
  <si>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</si>
  <si>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</si>
  <si>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</si>
  <si>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</si>
  <si>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</si>
  <si>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</si>
  <si>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</si>
  <si>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</si>
  <si>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</si>
  <si>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</si>
  <si>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</si>
  <si>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</si>
  <si>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</si>
  <si>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</si>
  <si>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</si>
  <si>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</si>
  <si>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</si>
  <si>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</si>
  <si>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</si>
  <si>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</si>
  <si>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</si>
  <si>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</si>
  <si>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</si>
  <si>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</si>
  <si>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</si>
  <si>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</si>
  <si>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</si>
  <si>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</si>
  <si>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</si>
  <si>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</si>
  <si>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</si>
  <si>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</si>
  <si>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</si>
  <si>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</si>
  <si>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</si>
  <si>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</si>
  <si>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</si>
  <si>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</si>
  <si>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</si>
  <si>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</si>
  <si>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</si>
  <si>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</si>
  <si>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</si>
  <si>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</si>
  <si>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</si>
  <si>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</si>
  <si>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</si>
  <si>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</si>
  <si>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</si>
  <si>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</si>
  <si>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</si>
  <si>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</si>
  <si>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</si>
  <si>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</si>
  <si>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</si>
  <si>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</si>
  <si>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</si>
  <si>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</si>
  <si>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</si>
  <si>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</si>
  <si>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</si>
  <si>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</si>
  <si>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</si>
  <si>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</si>
  <si>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</si>
  <si>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</si>
  <si>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</si>
  <si>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</si>
  <si>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</si>
  <si>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</si>
  <si>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</si>
  <si>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</si>
  <si>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</si>
  <si>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</si>
  <si>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</si>
  <si>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</si>
  <si>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</si>
  <si>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</si>
  <si>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</si>
  <si>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</si>
  <si>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</si>
  <si>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</si>
  <si>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</si>
  <si>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</si>
  <si>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</si>
  <si>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</si>
  <si>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</si>
  <si>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</si>
  <si>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</si>
  <si>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</si>
  <si>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</si>
  <si>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</si>
  <si>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</si>
  <si>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</si>
  <si>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</si>
  <si>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</si>
  <si>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</si>
  <si>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</si>
  <si>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</si>
  <si>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</si>
  <si>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</si>
  <si>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</si>
  <si>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</si>
  <si>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</si>
  <si>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</si>
  <si>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</si>
  <si>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</si>
  <si>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</si>
  <si>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</si>
  <si>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</si>
  <si>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</si>
  <si>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</si>
  <si>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</si>
  <si>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</si>
  <si>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</si>
  <si>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</si>
  <si>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</si>
  <si>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</si>
  <si>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</si>
  <si>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</si>
  <si>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</si>
  <si>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</si>
  <si>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</si>
  <si>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</si>
  <si>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</si>
  <si>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</si>
  <si>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</si>
  <si>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</si>
  <si>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</si>
  <si>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</si>
  <si>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</si>
  <si>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</si>
  <si>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</si>
  <si>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</si>
  <si>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</si>
  <si>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</si>
  <si>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</si>
  <si>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</si>
  <si>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</si>
  <si>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</si>
  <si>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</si>
  <si>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</si>
  <si>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</si>
  <si>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</si>
  <si>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</si>
  <si>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</si>
  <si>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</si>
  <si>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</si>
  <si>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</si>
  <si>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</si>
  <si>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</si>
  <si>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</si>
  <si>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</si>
  <si>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</si>
  <si>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</si>
  <si>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</si>
  <si>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</si>
  <si>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</si>
  <si>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</si>
  <si>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</si>
  <si>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</si>
  <si>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</si>
  <si>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</si>
  <si>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</si>
  <si>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</si>
  <si>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</si>
  <si>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</si>
  <si>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</si>
  <si>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</si>
  <si>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</si>
  <si>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</si>
  <si>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</si>
  <si>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</si>
  <si>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</si>
  <si>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</si>
  <si>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</si>
  <si>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</si>
  <si>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</si>
  <si>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</si>
  <si>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</si>
  <si>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</si>
  <si>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</si>
  <si>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</si>
  <si>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</si>
  <si>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</si>
  <si>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</si>
  <si>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</si>
  <si>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</si>
  <si>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</si>
  <si>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</si>
  <si>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</si>
  <si>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</si>
  <si>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</si>
  <si>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</si>
  <si>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</si>
  <si>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</si>
  <si>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</si>
  <si>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</si>
  <si>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</si>
  <si>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</si>
  <si>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</si>
  <si>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</si>
  <si>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</si>
  <si>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</si>
  <si>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</si>
  <si>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</si>
  <si>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</si>
  <si>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</si>
  <si>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</si>
  <si>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</si>
  <si>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</si>
  <si>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</si>
  <si>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</si>
  <si>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</si>
  <si>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</si>
  <si>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</si>
  <si>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</si>
  <si>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</si>
  <si>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</si>
  <si>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</si>
  <si>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</si>
  <si>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</si>
  <si>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</si>
  <si>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</si>
  <si>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</si>
  <si>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</si>
  <si>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</si>
  <si>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</si>
  <si>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</si>
  <si>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</si>
  <si>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</si>
  <si>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</si>
  <si>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</si>
  <si>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</si>
  <si>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</si>
  <si>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</si>
  <si>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</si>
  <si>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</si>
  <si>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</si>
  <si>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</si>
  <si>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</si>
  <si>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</si>
  <si>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</si>
  <si>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</si>
  <si>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</si>
  <si>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</si>
  <si>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</si>
  <si>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</si>
  <si>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</si>
  <si>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</si>
  <si>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</si>
  <si>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</si>
  <si>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</si>
  <si>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</si>
  <si>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</si>
  <si>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</si>
  <si>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</si>
  <si>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</si>
  <si>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</si>
  <si>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</si>
  <si>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</si>
  <si>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</si>
  <si>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</si>
  <si>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</si>
  <si>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</si>
  <si>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</si>
  <si>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</si>
  <si>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</si>
  <si>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</si>
  <si>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</si>
  <si>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</si>
  <si>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</si>
  <si>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</si>
  <si>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</si>
  <si>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</si>
  <si>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</si>
  <si>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</si>
  <si>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</si>
  <si>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</si>
  <si>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</si>
  <si>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</si>
  <si>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</si>
  <si>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</si>
  <si>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</si>
  <si>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</si>
  <si>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</si>
  <si>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</si>
  <si>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</si>
  <si>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</si>
  <si>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</si>
  <si>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</si>
  <si>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</si>
  <si>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</si>
  <si>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</si>
  <si>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</si>
  <si>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</si>
  <si>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</si>
  <si>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</si>
  <si>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</si>
  <si>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</si>
  <si>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</si>
  <si>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</si>
  <si>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</si>
  <si>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</si>
  <si>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</si>
  <si>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</si>
  <si>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</si>
  <si>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</si>
  <si>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</si>
  <si>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</si>
  <si>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</si>
  <si>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</si>
  <si>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</si>
  <si>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</si>
  <si>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</si>
  <si>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</si>
  <si>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</si>
  <si>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</si>
  <si>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</si>
  <si>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</si>
  <si>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</si>
  <si>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</si>
  <si>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</si>
  <si>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</si>
  <si>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</si>
  <si>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</si>
  <si>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</si>
  <si>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</si>
  <si>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</si>
  <si>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</si>
  <si>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</si>
  <si>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</si>
  <si>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</si>
  <si>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</si>
  <si>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</si>
  <si>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</si>
  <si>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</si>
  <si>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</si>
  <si>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</si>
  <si>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</si>
  <si>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</si>
  <si>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</si>
  <si>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</si>
  <si>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</si>
  <si>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</si>
  <si>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</si>
  <si>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</si>
  <si>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</si>
  <si>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</si>
  <si>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</si>
  <si>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</si>
  <si>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</si>
  <si>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</si>
  <si>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</si>
  <si>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</si>
  <si>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</si>
  <si>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</si>
  <si>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</si>
  <si>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</si>
  <si>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</si>
  <si>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</si>
  <si>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</si>
  <si>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</si>
  <si>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</si>
  <si>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</si>
  <si>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</si>
  <si>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</si>
  <si>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</si>
  <si>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</si>
  <si>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</si>
  <si>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</si>
  <si>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</si>
  <si>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</si>
  <si>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</si>
  <si>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</si>
  <si>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</si>
  <si>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</si>
  <si>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</si>
  <si>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</si>
  <si>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</si>
  <si>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</si>
  <si>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</si>
  <si>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</si>
  <si>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</si>
  <si>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</si>
  <si>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</si>
  <si>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</si>
  <si>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</si>
  <si>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</si>
  <si>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</si>
  <si>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</si>
  <si>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</si>
  <si>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</si>
  <si>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</si>
  <si>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</si>
  <si>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</si>
  <si>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</si>
  <si>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</si>
  <si>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</si>
  <si>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</si>
  <si>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</si>
  <si>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</si>
  <si>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</si>
  <si>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</si>
  <si>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</si>
  <si>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</si>
  <si>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</si>
  <si>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</si>
  <si>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</si>
  <si>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</si>
  <si>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</si>
  <si>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</si>
  <si>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</si>
  <si>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</si>
  <si>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</si>
  <si>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</si>
  <si>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</si>
  <si>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</si>
  <si>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</si>
  <si>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</si>
  <si>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</si>
  <si>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</si>
  <si>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</si>
  <si>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</si>
  <si>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</si>
  <si>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</si>
  <si>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</si>
  <si>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</si>
  <si>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</si>
  <si>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</si>
  <si>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</si>
  <si>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</si>
  <si>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</si>
  <si>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</si>
  <si>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</si>
  <si>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</si>
  <si>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</si>
  <si>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</si>
  <si>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</si>
  <si>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</si>
  <si>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</si>
  <si>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</si>
  <si>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</si>
  <si>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</si>
  <si>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</si>
  <si>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</si>
  <si>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</si>
  <si>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</si>
  <si>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</si>
  <si>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</si>
  <si>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</si>
  <si>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</si>
  <si>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</si>
  <si>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</si>
  <si>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</si>
  <si>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</si>
  <si>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</si>
  <si>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</si>
  <si>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</si>
  <si>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</si>
  <si>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</si>
  <si>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</si>
  <si>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</si>
  <si>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</si>
  <si>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</si>
  <si>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</si>
  <si>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</si>
  <si>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</si>
  <si>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</si>
  <si>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</si>
  <si>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</si>
  <si>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</si>
  <si>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</si>
  <si>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</si>
  <si>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</si>
  <si>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</si>
  <si>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</si>
  <si>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</si>
  <si>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</si>
  <si>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</si>
  <si>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</si>
  <si>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</si>
  <si>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</si>
  <si>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</si>
  <si>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</si>
  <si>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</si>
  <si>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</si>
  <si>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</si>
  <si>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</si>
  <si>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</si>
  <si>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</si>
  <si>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</si>
  <si>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</si>
  <si>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</si>
  <si>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</si>
  <si>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</si>
  <si>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</si>
  <si>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</si>
  <si>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</si>
  <si>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</si>
  <si>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</si>
  <si>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</si>
  <si>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</si>
  <si>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</si>
  <si>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</si>
  <si>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</si>
  <si>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</si>
  <si>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</si>
  <si>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</si>
  <si>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</si>
  <si>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</si>
  <si>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</si>
  <si>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</si>
  <si>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</si>
  <si>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</si>
  <si>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</si>
  <si>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</si>
  <si>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</si>
  <si>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</si>
  <si>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</si>
  <si>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</si>
  <si>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</si>
  <si>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</si>
  <si>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</si>
  <si>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</si>
  <si>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</si>
  <si>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</si>
  <si>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</si>
  <si>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</si>
  <si>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</si>
  <si>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</si>
  <si>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</si>
  <si>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</si>
  <si>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</si>
  <si>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</si>
  <si>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</si>
  <si>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</si>
  <si>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</si>
  <si>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</si>
  <si>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</si>
  <si>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</si>
  <si>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</si>
  <si>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</si>
  <si>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</si>
  <si>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</si>
  <si>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</si>
  <si>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</si>
  <si>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</si>
  <si>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</si>
  <si>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</si>
  <si>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</si>
  <si>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</si>
  <si>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</si>
  <si>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</si>
  <si>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</si>
  <si>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</si>
  <si>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</si>
  <si>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</si>
  <si>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</si>
  <si>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</si>
  <si>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</si>
  <si>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</si>
  <si>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</si>
  <si>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</si>
  <si>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</si>
  <si>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</si>
  <si>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</si>
  <si>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</si>
  <si>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</si>
  <si>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</si>
  <si>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</si>
  <si>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</si>
  <si>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</si>
  <si>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</si>
  <si>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</si>
  <si>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</si>
  <si>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</si>
  <si>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</si>
  <si>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</si>
  <si>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</si>
  <si>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</si>
  <si>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</si>
  <si>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</si>
  <si>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</si>
  <si>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</si>
  <si>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</si>
  <si>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</si>
  <si>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</si>
  <si>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</si>
  <si>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</si>
  <si>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</si>
  <si>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</si>
  <si>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</si>
  <si>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</si>
  <si>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</si>
  <si>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</si>
  <si>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</si>
  <si>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</si>
  <si>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</si>
  <si>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</si>
  <si>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</si>
  <si>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</si>
  <si>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</si>
  <si>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</si>
  <si>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</si>
  <si>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</si>
  <si>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</si>
  <si>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</si>
  <si>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</si>
  <si>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</si>
  <si>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</si>
  <si>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</si>
  <si>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</si>
  <si>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</si>
  <si>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</si>
  <si>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</si>
  <si>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</si>
  <si>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</si>
  <si>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</si>
  <si>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</si>
  <si>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</si>
  <si>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</si>
  <si>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</si>
  <si>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</si>
  <si>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</si>
  <si>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</si>
  <si>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</si>
  <si>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</si>
  <si>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</si>
  <si>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</si>
  <si>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</si>
  <si>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</si>
  <si>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</si>
  <si>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</si>
  <si>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</si>
  <si>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</si>
  <si>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</si>
  <si>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</si>
  <si>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</si>
  <si>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</si>
  <si>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</si>
  <si>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</si>
  <si>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</si>
  <si>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</si>
  <si>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</si>
  <si>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</si>
  <si>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</si>
  <si>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</si>
  <si>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</si>
  <si>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</si>
  <si>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</si>
  <si>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</si>
  <si>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</si>
  <si>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</si>
  <si>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</si>
  <si>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</si>
  <si>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</si>
  <si>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</si>
  <si>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</si>
  <si>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</si>
  <si>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</si>
  <si>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</si>
  <si>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</si>
  <si>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</si>
  <si>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</si>
  <si>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</si>
  <si>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</si>
  <si>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</si>
  <si>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</si>
  <si>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</si>
  <si>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</si>
  <si>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</si>
  <si>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</si>
  <si>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</si>
  <si>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</si>
  <si>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</si>
  <si>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</si>
  <si>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</si>
  <si>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</si>
  <si>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</si>
  <si>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</si>
  <si>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</si>
  <si>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</si>
  <si>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</si>
  <si>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</si>
  <si>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</si>
  <si>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</si>
  <si>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</si>
  <si>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</si>
  <si>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</si>
  <si>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</si>
  <si>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</si>
  <si>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</si>
  <si>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</si>
  <si>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</si>
  <si>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</si>
  <si>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</si>
  <si>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</si>
  <si>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</si>
  <si>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</si>
  <si>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</si>
  <si>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</si>
  <si>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</si>
  <si>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</si>
  <si>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</si>
  <si>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</si>
  <si>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</si>
  <si>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</si>
  <si>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</si>
  <si>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</si>
  <si>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</si>
  <si>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</si>
  <si>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</si>
  <si>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</si>
  <si>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</si>
  <si>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</si>
  <si>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</si>
  <si>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</si>
  <si>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</si>
  <si>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</si>
  <si>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</si>
  <si>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</si>
  <si>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</si>
  <si>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</si>
  <si>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</si>
  <si>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</si>
  <si>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</si>
  <si>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</si>
  <si>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</si>
  <si>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</si>
  <si>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</si>
  <si>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</si>
  <si>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</si>
  <si>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</si>
  <si>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</si>
  <si>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</si>
  <si>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</si>
  <si>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</si>
  <si>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</si>
  <si>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</si>
  <si>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</si>
  <si>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</si>
  <si>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</si>
  <si>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</si>
  <si>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</si>
  <si>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</si>
  <si>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</si>
  <si>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</si>
  <si>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</si>
  <si>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</si>
  <si>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</si>
  <si>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</si>
  <si>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</si>
  <si>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</si>
  <si>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</si>
  <si>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</si>
  <si>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</si>
  <si>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</si>
  <si>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</si>
  <si>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</si>
  <si>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</si>
  <si>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</si>
  <si>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</si>
  <si>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</si>
  <si>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</si>
  <si>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</si>
  <si>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</si>
  <si>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</si>
  <si>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</si>
  <si>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</si>
  <si>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</si>
  <si>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</si>
  <si>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</si>
  <si>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</si>
  <si>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</si>
  <si>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</si>
  <si>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</si>
  <si>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</si>
  <si>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</si>
  <si>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</si>
  <si>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</si>
  <si>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</si>
  <si>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</si>
  <si>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</si>
  <si>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</si>
  <si>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</si>
  <si>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</si>
  <si>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</si>
  <si>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</si>
  <si>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</si>
  <si>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</si>
  <si>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</si>
  <si>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</si>
  <si>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</si>
  <si>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</si>
  <si>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</si>
  <si>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</si>
  <si>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</si>
  <si>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</si>
  <si>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</si>
  <si>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</si>
  <si>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</si>
  <si>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</si>
  <si>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</si>
  <si>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</si>
  <si>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</si>
  <si>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</si>
  <si>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</si>
  <si>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</si>
  <si>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</si>
  <si>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</si>
  <si>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</si>
  <si>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</si>
  <si>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</si>
  <si>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</si>
  <si>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</si>
  <si>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</si>
  <si>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</si>
  <si>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</si>
  <si>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</si>
  <si>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</si>
  <si>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</si>
  <si>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</si>
  <si>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</si>
  <si>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</si>
  <si>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</si>
  <si>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</si>
  <si>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</si>
  <si>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</si>
  <si>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</si>
  <si>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</si>
  <si>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</si>
  <si>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</si>
  <si>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</si>
  <si>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</si>
  <si>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</si>
  <si>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</si>
  <si>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</si>
  <si>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</si>
  <si>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</si>
  <si>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</si>
  <si>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</si>
  <si>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</si>
  <si>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</si>
  <si>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</si>
  <si>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</si>
  <si>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</si>
  <si>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</si>
  <si>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</si>
  <si>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</si>
  <si>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</si>
  <si>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</si>
  <si>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</si>
  <si>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</si>
  <si>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</si>
  <si>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</si>
  <si>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</si>
  <si>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</si>
  <si>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</si>
  <si>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</si>
  <si>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</si>
  <si>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</si>
  <si>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</si>
  <si>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</si>
  <si>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</si>
  <si>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</si>
  <si>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</si>
  <si>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</si>
  <si>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</si>
  <si>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</si>
  <si>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</si>
  <si>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</si>
  <si>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</si>
  <si>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</si>
  <si>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</si>
  <si>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</si>
  <si>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</si>
  <si>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</si>
  <si>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</si>
  <si>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</si>
  <si>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</si>
  <si>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</si>
  <si>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</si>
  <si>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</si>
  <si>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</si>
  <si>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</si>
  <si>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</si>
  <si>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</si>
  <si>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</si>
  <si>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</si>
  <si>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</si>
  <si>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</si>
  <si>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</si>
  <si>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</si>
  <si>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</si>
  <si>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</si>
  <si>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</si>
  <si>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</si>
  <si>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</si>
  <si>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</si>
  <si>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</si>
  <si>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</si>
  <si>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</si>
  <si>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</si>
  <si>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</si>
  <si>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</si>
  <si>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</si>
  <si>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</si>
  <si>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</si>
  <si>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</si>
  <si>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</si>
  <si>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</si>
  <si>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</si>
  <si>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</si>
  <si>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</si>
  <si>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</si>
  <si>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</si>
  <si>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</si>
  <si>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</si>
  <si>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</si>
  <si>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</si>
  <si>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</si>
  <si>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</si>
  <si>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</si>
  <si>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</si>
  <si>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</si>
  <si>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</si>
  <si>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</si>
  <si>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</si>
  <si>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</si>
  <si>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</si>
  <si>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</si>
  <si>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</si>
  <si>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</si>
  <si>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</si>
  <si>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</si>
  <si>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</si>
  <si>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</si>
  <si>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</si>
  <si>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</si>
  <si>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</si>
  <si>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</si>
  <si>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</si>
  <si>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</si>
  <si>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</si>
  <si>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</si>
  <si>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</si>
  <si>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</si>
  <si>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</si>
  <si>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</si>
  <si>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</si>
  <si>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</si>
  <si>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</si>
  <si>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</si>
  <si>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</si>
  <si>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</si>
  <si>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</si>
  <si>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</si>
  <si>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</si>
  <si>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</si>
  <si>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</si>
  <si>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</si>
  <si>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</si>
  <si>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</si>
  <si>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</si>
  <si>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</si>
  <si>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</si>
  <si>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</si>
  <si>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</si>
  <si>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</si>
  <si>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</si>
  <si>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</si>
  <si>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</si>
  <si>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</si>
  <si>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</si>
  <si>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</si>
  <si>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</si>
  <si>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</si>
  <si>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</si>
  <si>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</si>
  <si>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</si>
  <si>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</si>
  <si>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</si>
  <si>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</si>
  <si>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</si>
  <si>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</si>
  <si>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</si>
  <si>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</si>
  <si>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</si>
  <si>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</si>
  <si>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</si>
  <si>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</si>
  <si>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</si>
  <si>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</si>
  <si>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</si>
  <si>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</si>
  <si>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</si>
  <si>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</si>
  <si>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</si>
  <si>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</si>
  <si>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</si>
  <si>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</si>
  <si>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</si>
  <si>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</si>
  <si>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</si>
  <si>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</si>
  <si>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</si>
  <si>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</si>
  <si>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</si>
  <si>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</si>
  <si>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</si>
  <si>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</si>
  <si>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</si>
  <si>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</si>
  <si>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</si>
  <si>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</si>
  <si>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</si>
  <si>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</si>
  <si>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</si>
  <si>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</si>
  <si>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</si>
  <si>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</si>
  <si>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</si>
  <si>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</si>
  <si>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</si>
  <si>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</si>
  <si>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</si>
  <si>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</si>
  <si>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</si>
  <si>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</si>
  <si>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</si>
  <si>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</si>
  <si>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</si>
  <si>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</si>
  <si>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</si>
  <si>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</si>
  <si>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</si>
  <si>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</si>
  <si>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</si>
  <si>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</si>
  <si>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</si>
  <si>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</si>
  <si>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</si>
  <si>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</si>
  <si>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</si>
  <si>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</si>
  <si>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</si>
  <si>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</si>
  <si>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</si>
  <si>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</si>
  <si>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</si>
  <si>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</si>
  <si>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</si>
  <si>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</si>
  <si>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</si>
  <si>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</si>
  <si>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</si>
  <si>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</si>
  <si>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</si>
  <si>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</si>
  <si>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</si>
  <si>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</si>
  <si>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</si>
  <si>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</si>
  <si>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</si>
  <si>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</si>
  <si>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</si>
  <si>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</si>
  <si>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</si>
  <si>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</si>
  <si>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</si>
  <si>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</si>
  <si>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</si>
  <si>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</si>
  <si>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</si>
  <si>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</si>
  <si>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</si>
  <si>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</si>
  <si>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</si>
  <si>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</si>
  <si>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</si>
  <si>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</si>
  <si>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</si>
  <si>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</si>
  <si>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</si>
  <si>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</si>
  <si>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</si>
  <si>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</si>
  <si>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</si>
  <si>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</si>
  <si>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</si>
  <si>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</si>
  <si>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</si>
  <si>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</si>
  <si>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</si>
  <si>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</si>
  <si>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</si>
  <si>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</si>
  <si>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</si>
  <si>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</si>
  <si>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</si>
  <si>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</si>
  <si>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</si>
  <si>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</si>
  <si>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</si>
  <si>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</si>
  <si>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</si>
  <si>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</si>
  <si>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</si>
  <si>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</si>
  <si>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</si>
  <si>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</si>
  <si>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</si>
  <si>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</si>
  <si>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</si>
  <si>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</si>
  <si>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</si>
  <si>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</si>
  <si>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</si>
  <si>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</si>
  <si>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</si>
  <si>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</si>
  <si>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</si>
  <si>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</si>
  <si>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</si>
  <si>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</si>
  <si>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</si>
  <si>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</si>
  <si>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</si>
  <si>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</si>
  <si>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</si>
  <si>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</si>
  <si>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</si>
  <si>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</si>
  <si>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</si>
  <si>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</si>
  <si>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</si>
  <si>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</si>
  <si>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</si>
  <si>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</si>
  <si>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</si>
  <si>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</si>
  <si>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</si>
  <si>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</si>
  <si>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</si>
  <si>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</si>
  <si>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</si>
  <si>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</si>
  <si>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</si>
  <si>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</si>
  <si>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</si>
  <si>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</si>
  <si>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</si>
  <si>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</si>
  <si>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</si>
  <si>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</si>
  <si>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</si>
  <si>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</si>
  <si>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</si>
  <si>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</si>
  <si>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</si>
  <si>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</si>
  <si>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</si>
  <si>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</si>
  <si>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</si>
  <si>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</si>
  <si>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</si>
  <si>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</si>
  <si>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</si>
  <si>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</si>
  <si>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</si>
  <si>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</si>
  <si>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</si>
  <si>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</si>
  <si>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</si>
  <si>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</si>
  <si>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</si>
  <si>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</si>
  <si>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</si>
  <si>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</si>
  <si>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</si>
  <si>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</si>
  <si>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</si>
  <si>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</si>
  <si>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</si>
  <si>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</si>
  <si>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</si>
  <si>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</si>
  <si>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</si>
  <si>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</si>
  <si>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</si>
  <si>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</si>
  <si>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</si>
  <si>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</si>
  <si>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</si>
  <si>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</si>
  <si>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</si>
  <si>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</si>
  <si>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</si>
  <si>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</si>
  <si>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</si>
  <si>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</si>
  <si>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</si>
  <si>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</si>
  <si>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</si>
  <si>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</si>
  <si>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</si>
  <si>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</si>
  <si>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</si>
  <si>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</si>
  <si>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</si>
  <si>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</si>
  <si>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</si>
  <si>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</si>
  <si>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</si>
  <si>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</si>
  <si>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</si>
  <si>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</si>
  <si>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</si>
  <si>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</si>
  <si>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</si>
  <si>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</si>
  <si>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</si>
  <si>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</si>
  <si>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</si>
  <si>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</si>
  <si>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</si>
  <si>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</si>
  <si>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</si>
  <si>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</si>
  <si>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</si>
  <si>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</si>
  <si>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</si>
  <si>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</si>
  <si>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</si>
  <si>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</si>
  <si>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</si>
  <si>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</si>
  <si>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</si>
  <si>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</si>
  <si>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</si>
  <si>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</si>
  <si>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</si>
  <si>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</si>
  <si>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</si>
  <si>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</si>
  <si>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</si>
  <si>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</si>
  <si>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</si>
  <si>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</si>
  <si>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</si>
  <si>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</si>
  <si>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</si>
  <si>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</si>
  <si>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</si>
  <si>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</si>
  <si>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</si>
  <si>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</si>
  <si>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</si>
  <si>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</si>
  <si>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</si>
  <si>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</si>
  <si>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</si>
  <si>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</si>
  <si>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</si>
  <si>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</si>
  <si>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</si>
  <si>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</si>
  <si>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</si>
  <si>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</si>
  <si>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</si>
  <si>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</si>
  <si>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</si>
  <si>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</si>
  <si>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</si>
  <si>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</si>
  <si>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</si>
  <si>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</si>
  <si>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</si>
  <si>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</si>
  <si>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</si>
  <si>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</si>
  <si>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</si>
  <si>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</si>
  <si>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</si>
  <si>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</si>
  <si>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</si>
  <si>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</si>
  <si>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</si>
  <si>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</si>
  <si>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</si>
  <si>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</si>
  <si>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</si>
  <si>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</si>
  <si>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</si>
  <si>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</si>
  <si>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</si>
  <si>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</si>
  <si>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</si>
  <si>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</si>
  <si>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</si>
  <si>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</si>
  <si>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</si>
  <si>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</si>
  <si>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</si>
  <si>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</si>
  <si>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</si>
  <si>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</si>
  <si>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</si>
  <si>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</si>
  <si>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</si>
  <si>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</si>
  <si>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</si>
  <si>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</si>
  <si>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</si>
  <si>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</si>
  <si>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</si>
  <si>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</si>
  <si>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</si>
  <si>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</si>
  <si>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</si>
  <si>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</si>
  <si>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</si>
  <si>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</si>
  <si>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</si>
  <si>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</si>
  <si>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</si>
  <si>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</si>
  <si>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</si>
  <si>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</si>
  <si>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</si>
  <si>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</si>
  <si>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</si>
  <si>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</si>
  <si>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</si>
  <si>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</si>
  <si>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</si>
  <si>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</si>
  <si>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</si>
  <si>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</si>
  <si>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</si>
  <si>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</si>
  <si>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</si>
  <si>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</si>
  <si>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</si>
  <si>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</si>
  <si>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</si>
  <si>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</si>
  <si>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</si>
  <si>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</si>
  <si>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</si>
  <si>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</si>
  <si>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</si>
  <si>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</si>
  <si>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</si>
  <si>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</si>
  <si>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</si>
  <si>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</si>
  <si>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</si>
  <si>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</si>
  <si>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</si>
  <si>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</si>
  <si>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</si>
  <si>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</si>
  <si>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</si>
  <si>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</si>
  <si>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</si>
  <si>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</si>
  <si>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</si>
  <si>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</si>
  <si>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</si>
  <si>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</si>
  <si>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</si>
  <si>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</si>
  <si>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</si>
  <si>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</si>
  <si>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</si>
  <si>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</si>
  <si>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</si>
  <si>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</si>
  <si>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</si>
  <si>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</si>
  <si>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</si>
  <si>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</si>
  <si>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</si>
  <si>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</si>
  <si>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</si>
  <si>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</si>
  <si>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</si>
  <si>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</si>
  <si>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</si>
  <si>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</si>
  <si>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</si>
  <si>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</si>
  <si>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</si>
  <si>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</si>
  <si>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</si>
  <si>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</si>
  <si>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</si>
  <si>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</si>
  <si>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</si>
  <si>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</si>
  <si>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</si>
  <si>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</si>
  <si>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</si>
  <si>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</si>
  <si>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</si>
  <si>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</si>
  <si>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</si>
  <si>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</si>
  <si>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</si>
  <si>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</si>
  <si>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</si>
  <si>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</si>
  <si>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</si>
  <si>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</si>
  <si>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</si>
  <si>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</si>
  <si>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</si>
  <si>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</si>
  <si>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</si>
  <si>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</si>
  <si>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</si>
  <si>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</si>
  <si>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</si>
  <si>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</si>
  <si>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</si>
  <si>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</si>
  <si>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</si>
  <si>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</si>
  <si>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</si>
  <si>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</si>
  <si>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</si>
  <si>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</si>
  <si>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</si>
  <si>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</si>
  <si>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</si>
  <si>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</si>
  <si>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</si>
  <si>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</si>
  <si>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</si>
  <si>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</si>
  <si>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</si>
  <si>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</si>
  <si>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</si>
  <si>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</si>
  <si>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</si>
  <si>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</si>
  <si>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</si>
  <si>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</si>
  <si>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</si>
  <si>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</si>
  <si>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</si>
  <si>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</si>
  <si>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</si>
  <si>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</si>
  <si>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</si>
  <si>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</si>
  <si>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</si>
  <si>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</si>
  <si>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</si>
  <si>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</si>
  <si>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</si>
  <si>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</si>
  <si>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</si>
  <si>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</si>
  <si>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</si>
  <si>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</si>
  <si>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</si>
  <si>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</si>
  <si>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</si>
  <si>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</si>
  <si>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</si>
  <si>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</si>
  <si>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</si>
  <si>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</si>
  <si>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</si>
  <si>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</si>
  <si>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</si>
  <si>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</si>
  <si>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</si>
  <si>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</si>
  <si>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</si>
  <si>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</si>
  <si>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</si>
  <si>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</si>
  <si>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</si>
  <si>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</si>
  <si>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</si>
  <si>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</si>
  <si>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</si>
  <si>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</si>
  <si>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</si>
  <si>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</si>
  <si>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</si>
  <si>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</si>
  <si>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</si>
  <si>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</si>
  <si>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</si>
  <si>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</si>
  <si>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</si>
  <si>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</si>
  <si>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</si>
  <si>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</si>
  <si>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</si>
  <si>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</si>
  <si>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</si>
  <si>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</si>
  <si>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</si>
  <si>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</si>
  <si>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</si>
  <si>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</si>
  <si>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</si>
  <si>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</si>
  <si>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</si>
  <si>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</si>
  <si>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</si>
  <si>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</si>
  <si>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</si>
  <si>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</si>
  <si>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</si>
  <si>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</si>
  <si>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</si>
  <si>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</si>
  <si>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</si>
  <si>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</si>
  <si>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</si>
  <si>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</si>
  <si>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</si>
  <si>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</si>
  <si>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</si>
  <si>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</si>
  <si>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</si>
  <si>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</si>
  <si>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</si>
  <si>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</si>
  <si>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</si>
  <si>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</si>
  <si>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</si>
  <si>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</si>
  <si>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</si>
  <si>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</si>
  <si>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</si>
  <si>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</si>
  <si>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</si>
  <si>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</si>
  <si>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</si>
  <si>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</si>
  <si>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</si>
  <si>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</si>
  <si>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</si>
  <si>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</si>
  <si>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</si>
  <si>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</si>
  <si>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</si>
  <si>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</si>
  <si>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</si>
  <si>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</si>
  <si>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</si>
  <si>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</si>
  <si>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</si>
  <si>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</si>
  <si>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</si>
  <si>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</si>
  <si>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</si>
  <si>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</si>
  <si>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</si>
  <si>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</si>
  <si>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</si>
  <si>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</si>
  <si>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</si>
  <si>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</si>
  <si>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</si>
  <si>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</si>
  <si>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</si>
  <si>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</si>
  <si>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</si>
  <si>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</si>
  <si>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</si>
  <si>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</si>
  <si>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</si>
  <si>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</si>
  <si>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</si>
  <si>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</si>
  <si>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</si>
  <si>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</si>
  <si>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</si>
  <si>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</si>
  <si>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</si>
  <si>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</si>
  <si>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</si>
  <si>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</si>
  <si>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</si>
  <si>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</si>
  <si>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</si>
  <si>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</si>
  <si>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</si>
  <si>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</si>
  <si>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</si>
  <si>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</si>
  <si>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</si>
  <si>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</si>
  <si>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</si>
  <si>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</si>
  <si>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</si>
  <si>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</si>
  <si>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</si>
  <si>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</si>
  <si>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</si>
  <si>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</si>
  <si>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</si>
  <si>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</si>
  <si>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</si>
  <si>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</si>
  <si>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</si>
  <si>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</si>
  <si>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</si>
  <si>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</si>
  <si>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</si>
  <si>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</si>
  <si>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</si>
  <si>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</si>
  <si>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</si>
  <si>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</si>
  <si>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</si>
  <si>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</si>
  <si>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</si>
  <si>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</si>
  <si>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</si>
  <si>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</si>
  <si>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</si>
  <si>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</si>
  <si>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</si>
  <si>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</si>
  <si>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</si>
  <si>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</si>
  <si>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</si>
  <si>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</si>
  <si>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</si>
  <si>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</si>
  <si>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</si>
  <si>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</si>
  <si>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</si>
  <si>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</si>
  <si>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</si>
  <si>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</si>
  <si>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</si>
  <si>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</si>
  <si>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</si>
  <si>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</si>
  <si>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</si>
  <si>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</si>
  <si>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</si>
  <si>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</si>
  <si>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</si>
  <si>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</si>
  <si>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</si>
  <si>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</si>
  <si>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</si>
  <si>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</si>
  <si>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</si>
  <si>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</si>
  <si>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</si>
  <si>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</si>
  <si>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</si>
  <si>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</si>
  <si>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</si>
  <si>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</si>
  <si>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</si>
  <si>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</si>
  <si>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</si>
  <si>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</si>
  <si>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</si>
  <si>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</si>
  <si>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</si>
  <si>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</si>
  <si>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</si>
  <si>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</si>
  <si>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</si>
  <si>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</si>
  <si>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</si>
  <si>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</si>
  <si>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</si>
  <si>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</si>
  <si>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</si>
  <si>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</si>
  <si>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</si>
  <si>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</si>
  <si>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</si>
  <si>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</si>
  <si>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</si>
  <si>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</si>
  <si>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</si>
  <si>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</si>
  <si>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</si>
  <si>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</si>
  <si>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</si>
  <si>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</si>
  <si>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</si>
  <si>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</si>
  <si>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</si>
  <si>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</si>
  <si>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</si>
  <si>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</si>
  <si>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</si>
  <si>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</si>
  <si>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</si>
  <si>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</si>
  <si>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</si>
  <si>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</si>
  <si>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</si>
  <si>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</si>
  <si>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</si>
  <si>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</si>
  <si>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</si>
  <si>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</si>
  <si>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</si>
  <si>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</si>
  <si>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</si>
  <si>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</si>
  <si>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</si>
  <si>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</si>
  <si>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</si>
  <si>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</si>
  <si>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</si>
  <si>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</si>
  <si>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</si>
  <si>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</si>
  <si>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</si>
  <si>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</si>
  <si>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</si>
  <si>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</si>
  <si>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</si>
  <si>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</si>
  <si>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</si>
  <si>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</si>
  <si>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</si>
  <si>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</si>
  <si>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</si>
  <si>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</si>
  <si>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</si>
  <si>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</si>
  <si>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</si>
  <si>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</si>
  <si>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</si>
  <si>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</si>
  <si>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</si>
  <si>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</si>
  <si>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</si>
  <si>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</si>
  <si>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</si>
  <si>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</si>
  <si>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</si>
  <si>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</si>
  <si>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</si>
  <si>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</si>
  <si>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</si>
  <si>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</si>
  <si>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</si>
  <si>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</si>
  <si>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</si>
  <si>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</si>
  <si>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</si>
  <si>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</si>
  <si>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</si>
  <si>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</si>
  <si>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</si>
  <si>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</si>
  <si>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</si>
  <si>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</si>
  <si>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</si>
  <si>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</si>
  <si>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</si>
  <si>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</si>
  <si>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</si>
  <si>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</si>
  <si>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</si>
  <si>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</si>
  <si>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</si>
  <si>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</si>
  <si>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</si>
  <si>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</si>
  <si>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</si>
  <si>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</si>
  <si>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</si>
  <si>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</si>
  <si>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</si>
  <si>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</si>
  <si>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</si>
  <si>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</si>
  <si>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</si>
  <si>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</si>
  <si>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</si>
  <si>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</si>
  <si>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</si>
  <si>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</si>
  <si>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</si>
  <si>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</si>
  <si>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</si>
  <si>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</si>
  <si>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</si>
  <si>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</si>
  <si>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</si>
  <si>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</si>
  <si>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</si>
  <si>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</si>
  <si>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</si>
  <si>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</si>
  <si>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</si>
  <si>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</si>
  <si>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</si>
  <si>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</si>
  <si>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</si>
  <si>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</si>
  <si>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</si>
  <si>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</si>
  <si>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</si>
  <si>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</si>
  <si>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</si>
  <si>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</si>
  <si>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</si>
  <si>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</si>
  <si>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</si>
  <si>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</si>
  <si>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</si>
  <si>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</si>
  <si>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</si>
  <si>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</si>
  <si>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</si>
  <si>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</si>
  <si>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</si>
  <si>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</si>
  <si>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</si>
  <si>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</si>
  <si>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</si>
  <si>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</si>
  <si>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</si>
  <si>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</si>
  <si>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</si>
  <si>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</si>
  <si>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</si>
  <si>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</si>
  <si>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</si>
  <si>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</si>
  <si>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</si>
  <si>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</si>
  <si>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</si>
  <si>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</si>
  <si>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</si>
  <si>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</si>
  <si>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</si>
  <si>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</si>
  <si>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</si>
  <si>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</si>
  <si>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</si>
  <si>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</si>
  <si>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</si>
  <si>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</si>
  <si>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</si>
  <si>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</si>
  <si>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</si>
  <si>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</si>
  <si>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</si>
  <si>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</si>
  <si>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</si>
  <si>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</si>
  <si>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</si>
  <si>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</si>
  <si>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</si>
  <si>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</si>
  <si>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</si>
  <si>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</si>
  <si>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</si>
  <si>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</si>
  <si>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</si>
  <si>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</si>
  <si>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</si>
  <si>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</si>
  <si>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</si>
  <si>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</si>
  <si>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</si>
  <si>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</si>
  <si>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</si>
  <si>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</si>
  <si>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</si>
  <si>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</si>
  <si>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</si>
  <si>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</si>
  <si>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</si>
  <si>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</si>
  <si>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</si>
  <si>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</si>
  <si>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</si>
  <si>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</si>
  <si>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</si>
  <si>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</si>
  <si>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</si>
  <si>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</si>
  <si>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</si>
  <si>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</si>
  <si>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</si>
  <si>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</si>
  <si>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</si>
  <si>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</si>
  <si>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</si>
  <si>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</si>
  <si>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</si>
  <si>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</si>
  <si>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</si>
  <si>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</si>
  <si>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</si>
  <si>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</si>
  <si>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</si>
  <si>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</si>
  <si>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</si>
  <si>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</si>
  <si>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</si>
  <si>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</si>
  <si>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</si>
  <si>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</si>
  <si>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</si>
  <si>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</si>
  <si>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</si>
  <si>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</si>
  <si>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</si>
  <si>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</si>
  <si>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</si>
  <si>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</si>
  <si>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</si>
  <si>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</si>
  <si>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</si>
  <si>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</si>
  <si>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</si>
  <si>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</si>
  <si>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</si>
  <si>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</si>
  <si>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</si>
  <si>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</si>
  <si>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</si>
  <si>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</si>
  <si>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</si>
  <si>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</si>
  <si>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</si>
  <si>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</si>
  <si>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</si>
  <si>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</si>
  <si>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</si>
  <si>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</si>
  <si>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</si>
  <si>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</si>
  <si>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</si>
  <si>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</si>
  <si>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</si>
  <si>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</si>
  <si>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</si>
  <si>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</si>
  <si>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</si>
  <si>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</si>
  <si>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</si>
  <si>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</si>
  <si>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</si>
  <si>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</si>
  <si>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</si>
  <si>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</si>
  <si>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</si>
  <si>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</si>
  <si>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</si>
  <si>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</si>
  <si>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</si>
  <si>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</si>
  <si>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</si>
  <si>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</si>
  <si>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</si>
  <si>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</si>
  <si>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</si>
  <si>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</si>
  <si>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</si>
  <si>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</si>
  <si>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</si>
  <si>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</si>
  <si>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</si>
  <si>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</si>
  <si>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</si>
  <si>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</si>
  <si>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</si>
  <si>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</si>
  <si>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</si>
  <si>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</si>
  <si>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</si>
  <si>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</si>
  <si>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</si>
  <si>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</si>
  <si>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</si>
  <si>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</si>
  <si>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</si>
  <si>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</si>
  <si>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</si>
  <si>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</si>
  <si>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</si>
  <si>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</si>
  <si>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</si>
  <si>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</si>
  <si>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</si>
  <si>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</si>
  <si>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</si>
  <si>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</si>
  <si>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</si>
  <si>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</si>
  <si>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</si>
  <si>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</si>
  <si>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</si>
  <si>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</si>
  <si>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</si>
  <si>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</si>
  <si>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</si>
  <si>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</si>
  <si>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</si>
  <si>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</si>
  <si>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</si>
  <si>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</si>
  <si>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</si>
  <si>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</si>
  <si>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</si>
  <si>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</si>
  <si>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</si>
  <si>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</si>
  <si>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</si>
  <si>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</si>
  <si>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</si>
  <si>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</si>
  <si>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</si>
  <si>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</si>
  <si>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</si>
  <si>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</si>
  <si>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</si>
  <si>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</si>
  <si>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</si>
  <si>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</si>
  <si>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</si>
  <si>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</si>
  <si>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</si>
  <si>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</si>
  <si>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</si>
  <si>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</si>
  <si>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</si>
  <si>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</si>
  <si>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</si>
  <si>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</si>
  <si>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</si>
  <si>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</si>
  <si>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</si>
  <si>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</si>
  <si>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</si>
  <si>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</si>
  <si>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</si>
  <si>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</si>
  <si>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</si>
  <si>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</si>
  <si>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</si>
  <si>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</si>
  <si>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</si>
  <si>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</si>
  <si>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</si>
  <si>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</si>
  <si>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</si>
  <si>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</si>
  <si>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</si>
  <si>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</si>
  <si>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</si>
  <si>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</si>
  <si>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</si>
  <si>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</si>
  <si>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</si>
  <si>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</si>
  <si>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</si>
  <si>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</si>
  <si>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</si>
  <si>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</si>
  <si>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</si>
  <si>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</si>
  <si>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</si>
  <si>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</si>
  <si>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</si>
  <si>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</si>
  <si>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</si>
  <si>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</si>
  <si>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</si>
  <si>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</si>
  <si>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</si>
  <si>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</si>
  <si>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</si>
  <si>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</si>
  <si>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</si>
  <si>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</si>
  <si>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</si>
  <si>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</si>
  <si>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</si>
  <si>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</si>
  <si>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</si>
  <si>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</si>
  <si>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</si>
  <si>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</si>
  <si>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</si>
  <si>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</si>
  <si>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</si>
  <si>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</si>
  <si>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</si>
  <si>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</si>
  <si>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</si>
  <si>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</si>
  <si>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</si>
  <si>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</si>
  <si>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</si>
  <si>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</si>
  <si>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</si>
  <si>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</si>
  <si>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</si>
  <si>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</si>
  <si>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</si>
  <si>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</si>
  <si>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</si>
  <si>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</si>
  <si>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</si>
  <si>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</si>
  <si>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</si>
  <si>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</si>
  <si>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</si>
  <si>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</si>
  <si>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</si>
  <si>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</si>
  <si>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</si>
  <si>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</si>
  <si>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</si>
  <si>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</si>
  <si>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</si>
  <si>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</si>
  <si>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</si>
  <si>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</si>
  <si>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</si>
  <si>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</si>
  <si>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</si>
  <si>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</si>
  <si>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</si>
  <si>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</si>
  <si>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</si>
  <si>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</si>
  <si>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</si>
  <si>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</si>
  <si>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</si>
  <si>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</si>
  <si>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</si>
  <si>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</si>
  <si>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</si>
  <si>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</si>
  <si>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</si>
  <si>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</si>
  <si>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</si>
  <si>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</si>
  <si>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</si>
  <si>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</si>
  <si>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</si>
  <si>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</si>
  <si>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</si>
  <si>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</si>
  <si>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</si>
  <si>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</si>
  <si>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</si>
  <si>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</si>
  <si>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</si>
  <si>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</si>
  <si>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</si>
  <si>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</si>
  <si>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</si>
  <si>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</si>
  <si>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</si>
  <si>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</si>
  <si>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</si>
  <si>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</si>
  <si>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</si>
  <si>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</si>
  <si>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</si>
  <si>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</si>
  <si>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</si>
  <si>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</si>
  <si>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</si>
  <si>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</si>
  <si>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</si>
  <si>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</si>
  <si>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</si>
  <si>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</si>
  <si>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</si>
  <si>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</si>
  <si>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</si>
  <si>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</si>
  <si>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</si>
  <si>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</si>
  <si>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</si>
  <si>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</si>
  <si>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</si>
  <si>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</si>
  <si>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</si>
  <si>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</si>
  <si>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</si>
  <si>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</si>
  <si>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</si>
  <si>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</si>
  <si>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</si>
  <si>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</si>
  <si>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</si>
  <si>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</si>
  <si>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</si>
  <si>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</si>
  <si>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</si>
  <si>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</si>
  <si>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</si>
  <si>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</si>
  <si>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</si>
  <si>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</si>
  <si>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</si>
  <si>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</si>
  <si>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</si>
  <si>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</si>
  <si>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</si>
  <si>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</si>
  <si>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</si>
  <si>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</si>
  <si>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</si>
  <si>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</si>
  <si>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</si>
  <si>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</si>
  <si>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</si>
  <si>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</si>
  <si>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</si>
  <si>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</si>
  <si>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</si>
  <si>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</si>
  <si>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</si>
  <si>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</si>
  <si>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</si>
  <si>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</si>
  <si>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</si>
  <si>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</si>
  <si>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</si>
  <si>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</si>
  <si>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</si>
  <si>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</si>
  <si>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</si>
  <si>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</si>
  <si>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</si>
  <si>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</si>
  <si>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</si>
  <si>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</si>
  <si>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</si>
  <si>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</si>
  <si>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</si>
  <si>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</si>
  <si>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</si>
  <si>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</si>
  <si>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</si>
  <si>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</si>
  <si>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</si>
  <si>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</si>
  <si>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</si>
  <si>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</si>
  <si>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</si>
  <si>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</si>
  <si>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</si>
  <si>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</si>
  <si>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</si>
  <si>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</si>
  <si>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</si>
  <si>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</si>
  <si>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</si>
  <si>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</si>
  <si>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</si>
  <si>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</si>
  <si>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</si>
  <si>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</si>
  <si>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</si>
  <si>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</si>
  <si>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</si>
  <si>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</si>
  <si>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</si>
  <si>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</si>
  <si>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</si>
  <si>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</si>
  <si>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</si>
  <si>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</si>
  <si>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</si>
  <si>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</si>
  <si>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</si>
  <si>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</si>
  <si>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</si>
  <si>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</si>
  <si>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</si>
  <si>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</si>
  <si>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</si>
  <si>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</si>
  <si>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</si>
  <si>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</si>
  <si>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</si>
  <si>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</si>
  <si>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</si>
  <si>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</si>
  <si>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</si>
  <si>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</si>
  <si>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</si>
  <si>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</si>
  <si>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</si>
  <si>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</si>
  <si>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</si>
  <si>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</si>
  <si>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</si>
  <si>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</si>
  <si>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</si>
  <si>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</si>
  <si>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</si>
  <si>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</si>
  <si>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</si>
  <si>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</si>
  <si>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</si>
  <si>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</si>
  <si>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</si>
  <si>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</si>
  <si>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</si>
  <si>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</si>
  <si>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</si>
  <si>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</si>
  <si>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</si>
  <si>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</si>
  <si>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</si>
  <si>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</si>
  <si>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</si>
  <si>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</si>
  <si>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</si>
  <si>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</si>
  <si>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</si>
  <si>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</si>
  <si>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</si>
  <si>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</si>
  <si>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</si>
  <si>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</si>
  <si>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</si>
  <si>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</si>
  <si>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</si>
  <si>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</si>
  <si>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</si>
  <si>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</si>
  <si>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</si>
  <si>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</si>
  <si>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</si>
  <si>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</si>
  <si>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</si>
  <si>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</si>
  <si>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</si>
  <si>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</si>
  <si>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</si>
  <si>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</si>
  <si>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</si>
  <si>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</si>
  <si>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</si>
  <si>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</si>
  <si>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</si>
  <si>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</si>
  <si>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</si>
  <si>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</si>
  <si>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</si>
  <si>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</si>
  <si>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</si>
  <si>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</si>
  <si>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</si>
  <si>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</si>
  <si>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</si>
  <si>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</si>
  <si>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</si>
  <si>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</si>
  <si>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</si>
  <si>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</si>
  <si>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</si>
  <si>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</si>
  <si>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</si>
  <si>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</si>
  <si>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</si>
  <si>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</si>
  <si>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</si>
  <si>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</si>
  <si>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</si>
  <si>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</si>
  <si>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</si>
  <si>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</si>
  <si>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</si>
  <si>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</si>
  <si>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</si>
  <si>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</si>
  <si>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</si>
  <si>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</si>
  <si>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</si>
  <si>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</si>
  <si>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</si>
  <si>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</si>
  <si>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</si>
  <si>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</si>
  <si>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</si>
  <si>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</si>
  <si>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</si>
  <si>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</si>
  <si>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</si>
  <si>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</si>
  <si>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</si>
  <si>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</si>
  <si>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</si>
  <si>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</si>
  <si>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</si>
  <si>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</si>
  <si>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</si>
  <si>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</si>
  <si>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</si>
  <si>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</si>
  <si>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</si>
  <si>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</si>
  <si>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</si>
  <si>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</si>
  <si>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</si>
  <si>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</si>
  <si>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</si>
  <si>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</si>
  <si>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</si>
  <si>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</si>
  <si>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</si>
  <si>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</si>
  <si>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</si>
  <si>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</si>
  <si>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</si>
  <si>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</si>
  <si>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</si>
  <si>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</si>
  <si>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</si>
  <si>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</si>
  <si>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</si>
  <si>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</si>
  <si>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</si>
  <si>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</si>
  <si>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</si>
  <si>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</si>
  <si>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</si>
  <si>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</si>
  <si>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</si>
  <si>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</si>
  <si>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</si>
  <si>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</si>
  <si>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</si>
  <si>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</si>
  <si>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</si>
  <si>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</si>
  <si>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</si>
  <si>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</si>
  <si>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</si>
  <si>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</si>
  <si>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</si>
  <si>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</si>
  <si>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</si>
  <si>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</si>
  <si>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</si>
  <si>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</si>
  <si>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</si>
  <si>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</si>
  <si>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</si>
  <si>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</si>
  <si>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</si>
  <si>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</si>
  <si>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</si>
  <si>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</si>
  <si>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</si>
  <si>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</si>
  <si>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</si>
  <si>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</si>
  <si>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</si>
  <si>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</si>
  <si>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</si>
  <si>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</si>
  <si>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</si>
  <si>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</si>
  <si>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</si>
  <si>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</si>
  <si>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</si>
  <si>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</si>
  <si>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</si>
  <si>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</si>
  <si>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</si>
  <si>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</si>
  <si>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</si>
  <si>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</si>
  <si>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</si>
  <si>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</si>
  <si>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</si>
  <si>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</si>
  <si>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</si>
  <si>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</si>
  <si>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</si>
  <si>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</si>
  <si>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</si>
  <si>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</si>
  <si>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</si>
  <si>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</si>
  <si>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</si>
  <si>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</si>
  <si>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</si>
  <si>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</si>
  <si>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</si>
  <si>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</si>
  <si>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</si>
  <si>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</si>
  <si>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</si>
  <si>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</si>
  <si>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</si>
  <si>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</si>
  <si>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</si>
  <si>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</si>
  <si>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</si>
  <si>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</si>
  <si>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</si>
  <si>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</si>
  <si>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</si>
  <si>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</si>
  <si>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</si>
  <si>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</si>
  <si>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</si>
  <si>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</si>
  <si>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</si>
  <si>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</si>
  <si>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</si>
  <si>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</si>
  <si>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</si>
  <si>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</si>
  <si>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</si>
  <si>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</si>
  <si>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</si>
  <si>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</si>
  <si>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</si>
  <si>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</si>
  <si>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</si>
  <si>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</si>
  <si>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</si>
  <si>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</si>
  <si>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</si>
  <si>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</si>
  <si>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</si>
  <si>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</si>
  <si>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</si>
  <si>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</si>
  <si>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</si>
  <si>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</si>
  <si>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</si>
  <si>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</si>
  <si>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</si>
  <si>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</si>
  <si>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</si>
  <si>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</si>
  <si>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</si>
  <si>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</si>
  <si>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</si>
  <si>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</si>
  <si>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</si>
  <si>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</si>
  <si>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</si>
  <si>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</si>
  <si>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</si>
  <si>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</si>
  <si>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</si>
  <si>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</si>
  <si>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</si>
  <si>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</si>
  <si>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</si>
  <si>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</si>
  <si>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</si>
  <si>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</si>
  <si>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</si>
  <si>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</si>
  <si>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</si>
  <si>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</si>
  <si>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</si>
  <si>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</si>
  <si>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</si>
  <si>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</si>
  <si>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</si>
  <si>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</si>
  <si>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</si>
  <si>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</si>
  <si>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</si>
  <si>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</si>
  <si>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</si>
  <si>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</si>
  <si>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</si>
  <si>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</si>
  <si>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</si>
  <si>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</si>
  <si>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</si>
  <si>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</si>
  <si>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</si>
  <si>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</si>
  <si>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</si>
  <si>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</si>
  <si>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</si>
  <si>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</si>
  <si>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</si>
  <si>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</si>
  <si>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</si>
  <si>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</si>
  <si>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</si>
  <si>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</si>
  <si>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</si>
  <si>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</si>
  <si>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</si>
  <si>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</si>
  <si>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</si>
  <si>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</si>
  <si>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</si>
  <si>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</si>
  <si>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</si>
  <si>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</si>
  <si>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</si>
  <si>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</si>
  <si>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</si>
  <si>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</si>
  <si>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</si>
  <si>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</si>
  <si>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</si>
  <si>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</si>
  <si>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</si>
  <si>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</si>
  <si>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</si>
  <si>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</si>
  <si>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</si>
  <si>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</si>
  <si>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</si>
  <si>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</si>
  <si>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</si>
  <si>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</si>
  <si>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</si>
  <si>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</si>
  <si>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</si>
  <si>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</si>
  <si>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</si>
  <si>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</si>
  <si>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</si>
  <si>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</si>
  <si>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</si>
  <si>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</si>
  <si>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</si>
  <si>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</si>
  <si>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</si>
  <si>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</si>
  <si>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</si>
  <si>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</si>
  <si>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</si>
  <si>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</si>
  <si>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</si>
  <si>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</si>
  <si>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</si>
  <si>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</si>
  <si>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</si>
  <si>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</si>
  <si>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</si>
  <si>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</si>
  <si>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</si>
  <si>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</si>
  <si>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</si>
  <si>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</si>
  <si>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</si>
  <si>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</si>
  <si>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</si>
  <si>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</si>
  <si>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</si>
  <si>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</si>
  <si>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</si>
  <si>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</si>
  <si>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</si>
  <si>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</si>
  <si>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</si>
  <si>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</si>
  <si>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</si>
  <si>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</si>
  <si>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</si>
  <si>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</si>
  <si>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</si>
  <si>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</si>
  <si>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</si>
  <si>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</si>
  <si>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</si>
  <si>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</si>
  <si>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</si>
  <si>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</si>
  <si>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</si>
  <si>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</si>
  <si>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</si>
  <si>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</si>
  <si>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</si>
  <si>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</si>
  <si>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</si>
  <si>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</si>
  <si>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</si>
  <si>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</si>
  <si>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</si>
  <si>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</si>
  <si>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</si>
  <si>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</si>
  <si>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</si>
  <si>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</si>
  <si>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</si>
  <si>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</si>
  <si>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</si>
  <si>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</si>
  <si>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</si>
  <si>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</si>
  <si>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</si>
  <si>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</si>
  <si>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</si>
  <si>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</si>
  <si>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</si>
  <si>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</si>
  <si>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</si>
  <si>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</si>
  <si>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</si>
  <si>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</si>
  <si>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</si>
  <si>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</si>
  <si>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</si>
  <si>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</si>
  <si>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</si>
  <si>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</si>
  <si>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</si>
  <si>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</si>
  <si>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</si>
  <si>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</si>
  <si>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</si>
  <si>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</si>
  <si>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</si>
  <si>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</si>
  <si>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</si>
  <si>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</si>
  <si>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</si>
  <si>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</si>
  <si>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</si>
  <si>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</si>
  <si>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</si>
  <si>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</si>
  <si>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</si>
  <si>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</si>
  <si>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</si>
  <si>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</si>
  <si>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</si>
  <si>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</si>
  <si>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</si>
  <si>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</si>
  <si>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</si>
  <si>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</si>
  <si>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</si>
  <si>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</si>
  <si>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</si>
  <si>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</si>
  <si>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</si>
  <si>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</si>
  <si>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</si>
  <si>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</si>
  <si>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</si>
  <si>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</si>
  <si>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</si>
  <si>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</si>
  <si>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</si>
  <si>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</si>
  <si>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</si>
  <si>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</si>
  <si>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</si>
  <si>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</si>
  <si>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</si>
  <si>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</si>
  <si>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</si>
  <si>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</si>
  <si>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</si>
  <si>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</si>
  <si>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</si>
  <si>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</si>
  <si>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</si>
  <si>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</si>
  <si>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</si>
  <si>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</si>
  <si>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</si>
  <si>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</si>
  <si>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</si>
  <si>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</si>
  <si>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</si>
  <si>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</si>
  <si>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</si>
  <si>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</si>
  <si>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</si>
  <si>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</si>
  <si>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</si>
  <si>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</si>
  <si>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</si>
  <si>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</si>
  <si>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</si>
  <si>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</si>
  <si>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</si>
  <si>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</si>
  <si>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</si>
  <si>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</si>
  <si>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</si>
  <si>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</si>
  <si>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</si>
  <si>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</si>
  <si>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</si>
  <si>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</si>
  <si>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</si>
  <si>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</si>
  <si>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</si>
  <si>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</si>
  <si>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</si>
  <si>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</si>
  <si>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</si>
  <si>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</si>
  <si>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</si>
  <si>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</si>
  <si>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</si>
  <si>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</si>
  <si>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</si>
  <si>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</si>
  <si>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</si>
  <si>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</si>
  <si>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</si>
  <si>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</si>
  <si>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</si>
  <si>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</si>
  <si>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</si>
  <si>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</si>
  <si>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</si>
  <si>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</si>
  <si>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</si>
  <si>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</si>
  <si>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</si>
  <si>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</si>
  <si>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</si>
  <si>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</si>
  <si>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</si>
  <si>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</si>
  <si>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</si>
  <si>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</si>
  <si>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</si>
  <si>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</si>
  <si>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</si>
  <si>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</si>
  <si>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</si>
  <si>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</si>
  <si>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</si>
  <si>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</si>
  <si>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</si>
  <si>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</si>
  <si>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</si>
  <si>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</si>
  <si>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</si>
  <si>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</si>
  <si>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</si>
  <si>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</si>
  <si>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</si>
  <si>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</si>
  <si>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</si>
  <si>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</si>
  <si>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</si>
  <si>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</si>
  <si>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</si>
  <si>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</si>
  <si>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</si>
  <si>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</si>
  <si>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</si>
  <si>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</si>
  <si>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</si>
  <si>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</si>
  <si>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</si>
  <si>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</si>
  <si>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</si>
  <si>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</si>
  <si>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</si>
  <si>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</si>
  <si>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</si>
  <si>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</si>
  <si>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</si>
  <si>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</si>
  <si>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</si>
  <si>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</si>
  <si>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</si>
  <si>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</si>
  <si>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</si>
  <si>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</si>
  <si>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</si>
  <si>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</si>
  <si>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</si>
  <si>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</si>
  <si>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</si>
  <si>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</si>
  <si>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</si>
  <si>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</si>
  <si>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</si>
  <si>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</si>
  <si>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</si>
  <si>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</si>
  <si>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</si>
  <si>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</si>
  <si>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</si>
  <si>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</si>
  <si>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</si>
  <si>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</si>
  <si>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</si>
  <si>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</si>
  <si>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</si>
  <si>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</si>
  <si>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</si>
  <si>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</si>
  <si>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</si>
  <si>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</si>
  <si>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</si>
  <si>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</si>
  <si>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</si>
  <si>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</si>
  <si>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</si>
  <si>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</si>
  <si>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</si>
  <si>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</si>
  <si>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</si>
  <si>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</si>
  <si>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</si>
  <si>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</si>
  <si>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</si>
  <si>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</si>
  <si>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</si>
  <si>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</si>
  <si>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</si>
  <si>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</si>
  <si>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</si>
  <si>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</si>
  <si>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</si>
  <si>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</si>
  <si>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</si>
  <si>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</si>
  <si>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</si>
  <si>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</si>
  <si>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</si>
  <si>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</si>
  <si>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</si>
  <si>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</si>
  <si>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</si>
  <si>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</si>
  <si>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</si>
  <si>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</si>
  <si>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</si>
  <si>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</si>
  <si>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</si>
  <si>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</si>
  <si>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</si>
  <si>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</si>
  <si>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</si>
  <si>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</si>
  <si>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</si>
  <si>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</si>
  <si>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</si>
  <si>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</si>
  <si>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</si>
  <si>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</si>
  <si>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</si>
  <si>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</si>
  <si>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</si>
  <si>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</si>
  <si>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</si>
  <si>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</si>
  <si>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</si>
  <si>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</si>
  <si>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</si>
  <si>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</si>
  <si>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</si>
  <si>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</si>
  <si>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</si>
  <si>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</si>
  <si>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</si>
  <si>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</si>
  <si>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</si>
  <si>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</si>
  <si>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</si>
  <si>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</si>
  <si>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</si>
  <si>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</si>
  <si>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</si>
  <si>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</si>
  <si>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</si>
  <si>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</si>
  <si>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</si>
  <si>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</si>
  <si>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</si>
  <si>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</si>
  <si>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</si>
  <si>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</si>
  <si>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</si>
  <si>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</si>
  <si>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</si>
  <si>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</si>
  <si>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</si>
  <si>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</si>
  <si>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</si>
  <si>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</si>
  <si>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</si>
  <si>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</si>
  <si>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</si>
  <si>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</si>
  <si>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</si>
  <si>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</si>
  <si>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</si>
  <si>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</si>
  <si>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</si>
  <si>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</si>
  <si>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</si>
  <si>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</si>
  <si>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</si>
  <si>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</si>
  <si>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</si>
  <si>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</si>
  <si>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</si>
  <si>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</si>
  <si>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</si>
  <si>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</si>
  <si>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</si>
  <si>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</si>
  <si>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</si>
  <si>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</si>
  <si>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</si>
  <si>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</si>
  <si>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</si>
  <si>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</si>
  <si>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</si>
  <si>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</si>
  <si>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</si>
  <si>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</si>
  <si>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</si>
  <si>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</si>
  <si>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</si>
  <si>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</si>
  <si>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</si>
  <si>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</si>
  <si>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</si>
  <si>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</si>
  <si>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</si>
  <si>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</si>
  <si>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</si>
  <si>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</si>
  <si>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</si>
  <si>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</si>
  <si>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</si>
  <si>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</si>
  <si>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</si>
  <si>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</si>
  <si>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</si>
  <si>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</si>
  <si>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</si>
  <si>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</si>
  <si>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</si>
  <si>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</si>
  <si>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</si>
  <si>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</si>
  <si>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</si>
  <si>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</si>
  <si>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</si>
  <si>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</si>
  <si>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</si>
  <si>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</si>
  <si>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</si>
  <si>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</si>
  <si>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</si>
  <si>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</si>
  <si>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</si>
  <si>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</si>
  <si>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</si>
  <si>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</si>
  <si>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</si>
  <si>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</si>
  <si>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</si>
  <si>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</si>
  <si>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</si>
  <si>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</si>
  <si>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</si>
  <si>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</si>
  <si>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</si>
  <si>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</si>
  <si>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</si>
  <si>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</si>
  <si>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</si>
  <si>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</si>
  <si>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</si>
  <si>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</si>
  <si>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</si>
  <si>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</si>
  <si>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</si>
  <si>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</si>
  <si>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</si>
  <si>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</si>
  <si>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</si>
  <si>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</si>
  <si>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</si>
  <si>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</si>
  <si>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</si>
  <si>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</si>
  <si>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</si>
  <si>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</si>
  <si>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</si>
  <si>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</si>
  <si>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</si>
  <si>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</si>
  <si>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</si>
  <si>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</si>
  <si>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</si>
  <si>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</si>
  <si>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</si>
  <si>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</si>
  <si>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</si>
  <si>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</si>
  <si>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</si>
  <si>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</si>
  <si>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</si>
  <si>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</si>
  <si>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</si>
  <si>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</si>
  <si>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</si>
  <si>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</si>
  <si>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</si>
  <si>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</si>
  <si>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</si>
  <si>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</si>
  <si>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</si>
  <si>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</si>
  <si>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</si>
  <si>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</si>
  <si>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</si>
  <si>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</si>
  <si>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</si>
  <si>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</si>
  <si>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</si>
  <si>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</si>
  <si>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</si>
  <si>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</si>
  <si>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</si>
  <si>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</si>
  <si>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</si>
  <si>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</si>
  <si>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</si>
  <si>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</si>
  <si>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</si>
  <si>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</si>
  <si>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</si>
  <si>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</si>
  <si>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</si>
  <si>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</si>
  <si>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</si>
  <si>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</si>
  <si>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</si>
  <si>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</si>
  <si>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</si>
  <si>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</si>
  <si>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</si>
  <si>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</si>
  <si>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</si>
  <si>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</si>
  <si>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</si>
  <si>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</si>
  <si>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</si>
  <si>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</si>
  <si>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</si>
  <si>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</si>
  <si>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</si>
  <si>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</si>
  <si>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</si>
  <si>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</si>
  <si>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</si>
  <si>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</si>
  <si>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</si>
  <si>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</si>
  <si>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</si>
  <si>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</si>
  <si>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</si>
  <si>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</si>
  <si>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</si>
  <si>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</si>
  <si>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</si>
  <si>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</si>
  <si>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</si>
  <si>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</si>
  <si>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</si>
  <si>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</si>
  <si>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</si>
  <si>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</si>
  <si>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</si>
  <si>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</si>
  <si>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</si>
  <si>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</si>
  <si>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</si>
  <si>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</si>
  <si>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</si>
  <si>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</si>
  <si>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</si>
  <si>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</si>
  <si>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</si>
  <si>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</si>
  <si>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</si>
  <si>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</si>
  <si>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</si>
  <si>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</si>
  <si>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</si>
  <si>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</si>
  <si>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</si>
  <si>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</si>
  <si>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</si>
  <si>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</si>
  <si>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</si>
  <si>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</si>
  <si>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</si>
  <si>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</si>
  <si>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</si>
  <si>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</si>
  <si>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</si>
  <si>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</si>
  <si>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</si>
  <si>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</si>
  <si>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</si>
  <si>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</si>
  <si>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</si>
  <si>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</si>
  <si>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</si>
  <si>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</si>
  <si>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</si>
  <si>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</si>
  <si>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</si>
  <si>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</si>
  <si>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</si>
  <si>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</si>
  <si>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</si>
  <si>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</si>
  <si>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</si>
  <si>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</si>
  <si>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</si>
  <si>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</si>
  <si>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</si>
  <si>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</si>
  <si>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</si>
  <si>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</si>
  <si>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</si>
  <si>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</si>
  <si>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</si>
  <si>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</si>
  <si>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</si>
  <si>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</si>
  <si>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</si>
  <si>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</si>
  <si>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</si>
  <si>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</si>
  <si>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</si>
  <si>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</si>
  <si>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</si>
  <si>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</si>
  <si>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</si>
  <si>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</si>
  <si>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</si>
  <si>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</si>
  <si>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</si>
  <si>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</si>
  <si>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</si>
  <si>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</si>
  <si>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</si>
  <si>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</si>
  <si>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</si>
  <si>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</si>
  <si>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</si>
  <si>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</si>
  <si>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</si>
  <si>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</si>
  <si>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</si>
  <si>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</si>
  <si>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</si>
  <si>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</si>
  <si>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</si>
  <si>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</si>
  <si>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</si>
  <si>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</si>
  <si>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</si>
  <si>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</si>
  <si>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</si>
  <si>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</si>
  <si>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</si>
  <si>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</si>
  <si>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</si>
  <si>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</si>
  <si>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</si>
  <si>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</si>
  <si>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</si>
  <si>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</si>
  <si>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</si>
  <si>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</si>
  <si>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</si>
  <si>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</si>
  <si>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</si>
  <si>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</si>
  <si>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</si>
  <si>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</si>
  <si>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</si>
  <si>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</si>
  <si>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</si>
  <si>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</si>
  <si>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</si>
  <si>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</si>
  <si>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</si>
  <si>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</si>
  <si>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</si>
  <si>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</si>
  <si>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</si>
  <si>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</si>
  <si>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</si>
  <si>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</si>
  <si>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</si>
  <si>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</si>
  <si>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</si>
  <si>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</si>
  <si>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</si>
  <si>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</si>
  <si>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</si>
  <si>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</si>
  <si>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</si>
  <si>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</si>
  <si>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</si>
  <si>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</si>
  <si>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</si>
  <si>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</si>
  <si>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</si>
  <si>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</si>
  <si>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</si>
  <si>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</si>
  <si>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</si>
  <si>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</si>
  <si>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</si>
  <si>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</si>
  <si>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</si>
  <si>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</si>
  <si>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</si>
  <si>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</si>
  <si>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</si>
  <si>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</si>
  <si>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</si>
  <si>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</si>
  <si>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</si>
  <si>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</si>
  <si>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</si>
  <si>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</si>
  <si>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</si>
  <si>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</si>
  <si>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</si>
  <si>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</si>
  <si>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</si>
  <si>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</si>
  <si>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</si>
  <si>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</si>
  <si>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</si>
  <si>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</si>
  <si>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</si>
  <si>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</si>
  <si>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</si>
  <si>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</si>
  <si>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</si>
  <si>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</si>
  <si>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</si>
  <si>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</si>
  <si>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</si>
  <si>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</si>
  <si>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</si>
  <si>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</si>
  <si>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</si>
  <si>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</si>
  <si>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</si>
  <si>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</si>
  <si>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</si>
  <si>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</si>
  <si>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</si>
  <si>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</si>
  <si>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</si>
  <si>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</si>
  <si>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</si>
  <si>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</si>
  <si>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</si>
  <si>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</si>
  <si>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</si>
  <si>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</si>
  <si>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</si>
  <si>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</si>
  <si>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</si>
  <si>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</si>
  <si>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</si>
  <si>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</si>
  <si>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</si>
  <si>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</si>
  <si>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</si>
  <si>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</si>
  <si>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</si>
  <si>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</si>
  <si>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</si>
  <si>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</si>
  <si>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</si>
  <si>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</si>
  <si>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</si>
  <si>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</si>
  <si>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</si>
  <si>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</si>
  <si>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</si>
  <si>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</si>
  <si>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</si>
  <si>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</si>
  <si>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</si>
  <si>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</si>
  <si>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</si>
  <si>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</si>
  <si>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</si>
  <si>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</si>
  <si>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</si>
  <si>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</si>
  <si>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</si>
  <si>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</si>
  <si>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</si>
  <si>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</si>
  <si>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</si>
  <si>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</si>
  <si>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</si>
  <si>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</si>
  <si>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</si>
  <si>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</si>
  <si>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</si>
  <si>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</si>
  <si>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</si>
  <si>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</si>
  <si>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</si>
  <si>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</si>
  <si>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</si>
  <si>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</si>
  <si>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</si>
  <si>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</si>
  <si>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</si>
  <si>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</si>
  <si>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</si>
  <si>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</si>
  <si>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</si>
  <si>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</si>
  <si>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</si>
  <si>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</si>
  <si>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</si>
  <si>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</si>
  <si>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</si>
  <si>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</si>
  <si>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</si>
  <si>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</si>
  <si>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</si>
  <si>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</si>
  <si>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</si>
  <si>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</si>
  <si>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</si>
  <si>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</si>
  <si>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</si>
  <si>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</si>
  <si>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</si>
  <si>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</si>
  <si>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</si>
  <si>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</si>
  <si>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</si>
  <si>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</si>
  <si>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</si>
  <si>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</si>
  <si>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</si>
  <si>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</si>
  <si>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</si>
  <si>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</si>
  <si>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</si>
  <si>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</si>
  <si>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</si>
  <si>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</si>
  <si>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</si>
  <si>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</si>
  <si>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</si>
  <si>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</si>
  <si>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</si>
  <si>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</si>
  <si>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</si>
  <si>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</si>
  <si>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</si>
  <si>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</si>
  <si>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</si>
  <si>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</si>
  <si>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</si>
  <si>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</si>
  <si>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</si>
  <si>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</si>
  <si>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</si>
  <si>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</si>
  <si>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</si>
  <si>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</si>
  <si>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</si>
  <si>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</si>
  <si>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</si>
  <si>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</si>
  <si>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</si>
  <si>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</si>
  <si>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</si>
  <si>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</si>
  <si>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</si>
  <si>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</si>
  <si>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</si>
  <si>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</si>
  <si>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</si>
  <si>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</si>
  <si>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</si>
  <si>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</si>
  <si>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</si>
  <si>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</si>
  <si>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</si>
  <si>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</si>
  <si>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</si>
  <si>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</si>
  <si>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</si>
  <si>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</si>
  <si>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</si>
  <si>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</si>
  <si>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</si>
  <si>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</si>
  <si>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</si>
  <si>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</si>
  <si>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</si>
  <si>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</si>
  <si>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</si>
  <si>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</si>
  <si>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</si>
  <si>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</si>
  <si>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</si>
  <si>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</si>
  <si>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</si>
  <si>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</si>
  <si>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</si>
  <si>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</si>
  <si>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</si>
  <si>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</si>
  <si>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</si>
  <si>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</si>
  <si>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</si>
  <si>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</si>
  <si>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</si>
  <si>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</si>
  <si>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</si>
  <si>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</si>
  <si>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</si>
  <si>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</si>
  <si>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</si>
  <si>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</si>
  <si>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</si>
  <si>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</si>
  <si>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</si>
  <si>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</si>
  <si>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</si>
  <si>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</si>
  <si>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</si>
  <si>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</si>
  <si>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</si>
  <si>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</si>
  <si>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</si>
  <si>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</si>
  <si>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</si>
  <si>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</si>
  <si>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</si>
  <si>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</si>
  <si>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</si>
  <si>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</si>
  <si>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</si>
  <si>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</si>
  <si>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</si>
  <si>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</si>
  <si>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</si>
  <si>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</si>
  <si>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</si>
  <si>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</si>
  <si>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</si>
  <si>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</si>
  <si>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</si>
  <si>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</si>
  <si>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</si>
  <si>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</si>
  <si>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</si>
  <si>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</si>
  <si>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</si>
  <si>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</si>
  <si>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</si>
  <si>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</si>
  <si>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</si>
  <si>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</si>
  <si>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</si>
  <si>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</si>
  <si>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</si>
  <si>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</si>
  <si>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</si>
  <si>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</si>
  <si>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</si>
  <si>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</si>
  <si>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</si>
  <si>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</si>
  <si>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</si>
  <si>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</si>
  <si>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</si>
  <si>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</si>
  <si>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</si>
  <si>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</si>
  <si>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</si>
  <si>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</si>
  <si>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</si>
  <si>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</si>
  <si>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</si>
  <si>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</si>
  <si>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</si>
  <si>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</si>
  <si>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</si>
  <si>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</si>
  <si>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</si>
  <si>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</si>
  <si>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</si>
  <si>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</si>
  <si>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</si>
  <si>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</si>
  <si>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</si>
  <si>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</si>
  <si>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</si>
  <si>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</si>
  <si>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</si>
  <si>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</si>
  <si>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</si>
  <si>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</si>
  <si>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</si>
  <si>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</si>
  <si>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</si>
  <si>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</si>
  <si>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</si>
  <si>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</si>
  <si>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</si>
  <si>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</si>
  <si>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</si>
  <si>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</si>
  <si>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</si>
  <si>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</si>
  <si>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</si>
  <si>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</si>
  <si>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</si>
  <si>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</si>
  <si>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</si>
  <si>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</si>
  <si>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</si>
  <si>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</si>
  <si>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</si>
  <si>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</si>
  <si>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</si>
  <si>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</si>
  <si>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</si>
  <si>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</si>
  <si>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</si>
  <si>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</si>
  <si>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</si>
  <si>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</si>
  <si>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</si>
  <si>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</si>
  <si>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</si>
  <si>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</si>
  <si>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</si>
  <si>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</si>
  <si>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</si>
  <si>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</si>
  <si>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</si>
  <si>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</si>
  <si>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</si>
  <si>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</si>
  <si>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</si>
  <si>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</si>
  <si>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</si>
  <si>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</si>
  <si>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</si>
  <si>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</si>
  <si>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</si>
  <si>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</si>
  <si>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</si>
  <si>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</si>
  <si>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</si>
  <si>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</si>
  <si>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</si>
  <si>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</si>
  <si>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</si>
  <si>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</si>
  <si>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</si>
  <si>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</si>
  <si>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</si>
  <si>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</si>
  <si>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</si>
  <si>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</si>
  <si>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</si>
  <si>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</si>
  <si>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</si>
  <si>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</si>
  <si>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</si>
  <si>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</si>
  <si>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</si>
  <si>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</si>
  <si>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</si>
  <si>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</si>
  <si>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</si>
  <si>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</si>
  <si>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</si>
  <si>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</si>
  <si>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</si>
  <si>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</si>
  <si>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</si>
  <si>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</si>
  <si>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</si>
  <si>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</si>
  <si>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</si>
  <si>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</si>
  <si>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</si>
  <si>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</si>
  <si>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</si>
  <si>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</si>
  <si>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</si>
  <si>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</si>
  <si>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</si>
  <si>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</si>
  <si>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</si>
  <si>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</si>
  <si>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</si>
  <si>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</si>
  <si>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</si>
  <si>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</si>
  <si>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</si>
  <si>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</si>
  <si>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</si>
  <si>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</si>
  <si>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</si>
  <si>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</si>
  <si>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</si>
  <si>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</si>
  <si>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</si>
  <si>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</si>
  <si>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</si>
  <si>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</si>
  <si>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</si>
  <si>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</si>
  <si>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</si>
  <si>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</si>
  <si>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</si>
  <si>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</si>
  <si>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</si>
  <si>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</si>
  <si>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</si>
  <si>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</si>
  <si>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</si>
  <si>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</si>
  <si>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</si>
  <si>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</si>
  <si>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</si>
  <si>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</si>
  <si>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</si>
  <si>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</si>
  <si>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</si>
  <si>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</si>
  <si>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</si>
  <si>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</si>
  <si>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</si>
  <si>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</si>
  <si>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</si>
  <si>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</si>
  <si>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</si>
  <si>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</si>
  <si>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</si>
  <si>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</si>
  <si>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</si>
  <si>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</si>
  <si>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</si>
  <si>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</si>
  <si>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</si>
  <si>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</si>
  <si>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</si>
  <si>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</si>
  <si>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</si>
  <si>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</si>
  <si>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</si>
  <si>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</si>
  <si>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</si>
  <si>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</si>
  <si>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</si>
  <si>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</si>
  <si>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</si>
  <si>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</si>
  <si>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</si>
  <si>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</si>
  <si>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</si>
  <si>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</si>
  <si>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</si>
  <si>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</si>
  <si>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</si>
  <si>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</si>
  <si>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</si>
  <si>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</si>
  <si>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</si>
  <si>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</si>
  <si>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</si>
  <si>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</si>
  <si>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</si>
  <si>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</si>
  <si>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</si>
  <si>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</si>
  <si>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</si>
  <si>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</si>
  <si>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</si>
  <si>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</si>
  <si>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</si>
  <si>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</si>
  <si>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</si>
  <si>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</si>
  <si>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</si>
  <si>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</si>
  <si>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</si>
  <si>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</si>
  <si>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</si>
  <si>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</si>
  <si>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</si>
  <si>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</si>
  <si>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</si>
  <si>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</si>
  <si>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</si>
  <si>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</si>
  <si>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</si>
  <si>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</si>
  <si>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</si>
  <si>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</si>
  <si>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</si>
  <si>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</si>
  <si>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</si>
  <si>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</si>
  <si>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</si>
  <si>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</si>
  <si>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</si>
  <si>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</si>
  <si>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</si>
  <si>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</si>
  <si>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</si>
  <si>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</si>
  <si>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</si>
  <si>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</si>
  <si>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</si>
  <si>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</si>
  <si>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</si>
  <si>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</si>
  <si>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</si>
  <si>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</si>
  <si>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</si>
  <si>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</si>
  <si>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</si>
  <si>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</si>
  <si>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</si>
  <si>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</si>
  <si>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</si>
  <si>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</si>
  <si>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</si>
  <si>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</si>
  <si>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</si>
  <si>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</si>
  <si>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</si>
  <si>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</si>
  <si>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</si>
  <si>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</si>
  <si>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</si>
  <si>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</si>
  <si>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</si>
  <si>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</si>
  <si>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</si>
  <si>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</si>
  <si>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</si>
  <si>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</si>
  <si>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</si>
  <si>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</si>
  <si>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</si>
  <si>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</si>
  <si>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</si>
  <si>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</si>
  <si>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</si>
  <si>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</si>
  <si>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</si>
  <si>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</si>
  <si>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</si>
  <si>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</si>
  <si>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</si>
  <si>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</si>
  <si>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</si>
  <si>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</si>
  <si>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</si>
  <si>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</si>
  <si>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</si>
  <si>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</si>
  <si>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</si>
  <si>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</si>
  <si>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</si>
  <si>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</si>
  <si>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</si>
  <si>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</si>
  <si>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</si>
  <si>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</si>
  <si>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</si>
  <si>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</si>
  <si>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</si>
  <si>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</si>
  <si>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</si>
  <si>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</si>
  <si>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</si>
  <si>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</si>
  <si>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</si>
  <si>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</si>
  <si>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</si>
  <si>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</si>
  <si>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</si>
  <si>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</si>
  <si>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</si>
  <si>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</si>
  <si>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</si>
  <si>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</si>
  <si>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</si>
  <si>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</si>
  <si>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</si>
  <si>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</si>
  <si>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</si>
  <si>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</si>
  <si>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</si>
  <si>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</si>
  <si>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</si>
  <si>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</si>
  <si>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</si>
  <si>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</si>
  <si>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</si>
  <si>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</si>
  <si>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</si>
  <si>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</si>
  <si>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</si>
  <si>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</si>
  <si>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</si>
  <si>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</si>
  <si>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</si>
  <si>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</si>
  <si>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</si>
  <si>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</si>
  <si>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</si>
  <si>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</si>
  <si>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</si>
  <si>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</si>
  <si>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</si>
  <si>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</si>
  <si>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</si>
  <si>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</si>
  <si>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</si>
  <si>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</si>
  <si>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</si>
  <si>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</si>
  <si>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</si>
  <si>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</si>
  <si>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</si>
  <si>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</si>
  <si>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</si>
  <si>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</si>
  <si>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</si>
  <si>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</si>
  <si>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</si>
  <si>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</si>
  <si>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</si>
  <si>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</si>
  <si>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</si>
  <si>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</si>
  <si>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</si>
  <si>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</si>
  <si>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</si>
  <si>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</si>
  <si>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</si>
  <si>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</si>
  <si>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</si>
  <si>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</si>
  <si>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</si>
  <si>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</si>
  <si>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</si>
  <si>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</si>
  <si>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</si>
  <si>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</si>
  <si>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</si>
  <si>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</si>
  <si>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</si>
  <si>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</si>
  <si>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</si>
  <si>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</si>
  <si>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</si>
  <si>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</si>
  <si>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</si>
  <si>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</si>
  <si>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</si>
  <si>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</si>
  <si>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</si>
  <si>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</si>
  <si>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</si>
  <si>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</si>
  <si>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</si>
  <si>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</si>
  <si>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</si>
  <si>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</si>
  <si>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</si>
  <si>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</si>
  <si>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</si>
  <si>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</si>
  <si>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</si>
  <si>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</si>
  <si>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</si>
  <si>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</si>
  <si>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</si>
  <si>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</si>
  <si>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</si>
  <si>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</si>
  <si>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</si>
  <si>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</si>
  <si>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</si>
  <si>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</si>
  <si>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</si>
  <si>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</si>
  <si>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</si>
  <si>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</si>
  <si>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</si>
  <si>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</si>
  <si>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</si>
  <si>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</si>
  <si>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</si>
  <si>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</si>
  <si>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</si>
  <si>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</si>
  <si>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</si>
  <si>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</si>
  <si>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</si>
  <si>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</si>
  <si>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</si>
  <si>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</si>
  <si>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</si>
  <si>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</si>
  <si>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</si>
  <si>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</si>
  <si>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</si>
  <si>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</si>
  <si>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</si>
  <si>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</si>
  <si>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</si>
  <si>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</si>
  <si>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</si>
  <si>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</si>
  <si>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</si>
  <si>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</si>
  <si>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</si>
  <si>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</si>
  <si>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</si>
  <si>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</si>
  <si>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</si>
  <si>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</si>
  <si>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</si>
  <si>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</si>
  <si>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</si>
  <si>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</si>
  <si>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</si>
  <si>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</si>
  <si>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</si>
  <si>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</si>
  <si>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</si>
  <si>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</si>
  <si>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</si>
  <si>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</si>
  <si>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</si>
  <si>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</si>
  <si>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</si>
  <si>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</si>
  <si>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</si>
  <si>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</si>
  <si>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</si>
  <si>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</si>
  <si>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</si>
  <si>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</si>
  <si>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</si>
  <si>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</si>
  <si>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</si>
  <si>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</si>
  <si>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</si>
  <si>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</si>
  <si>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</si>
  <si>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</si>
  <si>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</si>
  <si>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</si>
  <si>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</si>
  <si>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</si>
  <si>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</si>
  <si>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</si>
  <si>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</si>
  <si>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</si>
  <si>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</si>
  <si>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</si>
  <si>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</si>
  <si>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</si>
  <si>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</si>
  <si>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</si>
  <si>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</si>
  <si>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</si>
  <si>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</si>
  <si>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</si>
  <si>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</si>
  <si>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</si>
  <si>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</si>
  <si>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</si>
  <si>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</si>
  <si>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</si>
  <si>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</si>
  <si>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</si>
  <si>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</si>
  <si>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</si>
  <si>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</si>
  <si>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</si>
  <si>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</si>
  <si>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</si>
  <si>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</si>
  <si>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</si>
  <si>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</si>
  <si>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</si>
  <si>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</si>
  <si>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</si>
  <si>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</si>
  <si>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</si>
  <si>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</si>
  <si>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</si>
  <si>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</si>
  <si>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</si>
  <si>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</si>
  <si>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</si>
  <si>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</si>
  <si>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</si>
  <si>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</si>
  <si>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</si>
  <si>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</si>
  <si>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</si>
  <si>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</si>
  <si>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</si>
  <si>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</si>
  <si>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</si>
  <si>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</si>
  <si>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</si>
  <si>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</si>
  <si>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</si>
  <si>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</si>
  <si>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</si>
  <si>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</si>
  <si>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</si>
  <si>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</si>
  <si>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</si>
  <si>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</si>
  <si>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</si>
  <si>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</si>
  <si>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</si>
  <si>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</si>
  <si>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</si>
  <si>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</si>
  <si>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</si>
  <si>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</si>
  <si>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</si>
  <si>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</si>
  <si>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</si>
  <si>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</si>
  <si>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</si>
  <si>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</si>
  <si>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</si>
  <si>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</si>
  <si>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</si>
  <si>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</si>
  <si>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</si>
  <si>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</si>
  <si>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</si>
  <si>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</si>
  <si>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</si>
  <si>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</si>
  <si>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</si>
  <si>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</si>
  <si>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</si>
  <si>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</si>
  <si>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</si>
  <si>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</si>
  <si>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</si>
  <si>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</si>
  <si>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</si>
  <si>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</si>
  <si>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</si>
  <si>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</si>
  <si>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</si>
  <si>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</si>
  <si>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</si>
  <si>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</si>
  <si>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</si>
  <si>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</si>
  <si>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</si>
  <si>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</si>
  <si>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</si>
  <si>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</si>
  <si>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</si>
  <si>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</si>
  <si>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</si>
  <si>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</si>
  <si>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</si>
  <si>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</si>
  <si>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</si>
  <si>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</si>
  <si>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</si>
  <si>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</si>
  <si>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</si>
  <si>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</si>
  <si>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</si>
  <si>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</si>
  <si>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</si>
  <si>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</si>
  <si>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</si>
  <si>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</si>
  <si>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</si>
  <si>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</si>
  <si>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</si>
  <si>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</si>
  <si>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</si>
  <si>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</si>
  <si>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</si>
  <si>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</si>
  <si>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</si>
  <si>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</si>
  <si>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</si>
  <si>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</si>
  <si>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</si>
  <si>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</si>
  <si>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</si>
  <si>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</si>
  <si>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</si>
  <si>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</si>
  <si>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</si>
  <si>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</si>
  <si>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</si>
  <si>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</si>
  <si>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</si>
  <si>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</si>
  <si>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</si>
  <si>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</si>
  <si>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</si>
  <si>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</si>
  <si>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</si>
  <si>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</si>
  <si>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</si>
  <si>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</si>
  <si>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</si>
  <si>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</si>
  <si>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</si>
  <si>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</si>
  <si>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</si>
  <si>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</si>
  <si>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</si>
  <si>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</si>
  <si>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</si>
  <si>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</si>
  <si>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</si>
  <si>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</si>
  <si>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</si>
  <si>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</si>
  <si>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</si>
  <si>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</si>
  <si>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</si>
  <si>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</si>
  <si>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</si>
  <si>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</si>
  <si>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</si>
  <si>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</si>
  <si>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</si>
  <si>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</si>
  <si>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</si>
  <si>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</si>
  <si>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</si>
  <si>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</si>
  <si>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</si>
  <si>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</si>
  <si>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</si>
  <si>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</si>
  <si>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</si>
  <si>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</si>
  <si>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</si>
  <si>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</si>
  <si>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</si>
  <si>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</si>
  <si>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</si>
  <si>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</si>
  <si>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</si>
  <si>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</si>
  <si>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</si>
  <si>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</si>
  <si>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</si>
  <si>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</si>
  <si>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</si>
  <si>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</si>
  <si>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</si>
  <si>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</si>
  <si>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</si>
  <si>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</si>
  <si>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</si>
  <si>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</si>
  <si>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</si>
  <si>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</si>
  <si>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</si>
  <si>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</si>
  <si>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</si>
  <si>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</si>
  <si>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</si>
  <si>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</si>
  <si>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</si>
  <si>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</si>
  <si>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</si>
  <si>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</si>
  <si>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</si>
  <si>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</si>
  <si>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</si>
  <si>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</si>
  <si>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</si>
  <si>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</si>
  <si>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</si>
  <si>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</si>
  <si>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</si>
  <si>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</si>
  <si>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</si>
  <si>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</si>
  <si>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</si>
  <si>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</si>
  <si>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</si>
  <si>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</si>
  <si>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</si>
  <si>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</si>
  <si>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</si>
  <si>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</si>
  <si>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</si>
  <si>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</si>
  <si>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</si>
  <si>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</si>
  <si>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</si>
  <si>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</si>
  <si>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</si>
  <si>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</si>
  <si>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</si>
  <si>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</si>
  <si>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</si>
  <si>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</si>
  <si>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</si>
  <si>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</si>
  <si>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</si>
  <si>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</si>
  <si>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</si>
  <si>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</si>
  <si>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</si>
  <si>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</si>
  <si>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</si>
  <si>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</si>
  <si>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</si>
  <si>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</si>
  <si>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</si>
  <si>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</si>
  <si>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</si>
  <si>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</si>
  <si>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</si>
  <si>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</si>
  <si>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</si>
  <si>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</si>
  <si>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</si>
  <si>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</si>
  <si>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</si>
  <si>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</si>
  <si>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</si>
  <si>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</si>
  <si>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</si>
  <si>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</si>
  <si>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</si>
  <si>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</si>
  <si>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</si>
  <si>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</si>
  <si>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</si>
  <si>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</si>
  <si>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</si>
  <si>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</si>
  <si>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</si>
  <si>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</si>
  <si>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</si>
  <si>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</si>
  <si>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</si>
  <si>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</si>
  <si>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</si>
  <si>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</si>
  <si>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</si>
  <si>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</si>
  <si>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</si>
  <si>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</si>
  <si>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</si>
  <si>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</si>
  <si>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</si>
  <si>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</si>
  <si>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</si>
  <si>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</si>
  <si>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</si>
  <si>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</si>
  <si>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</si>
  <si>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</si>
  <si>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</si>
  <si>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</si>
  <si>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</si>
  <si>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</si>
  <si>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</si>
  <si>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</si>
  <si>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</si>
  <si>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</si>
  <si>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</si>
  <si>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</si>
  <si>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</si>
  <si>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</si>
  <si>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</si>
  <si>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</si>
  <si>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</si>
  <si>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</si>
  <si>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</si>
  <si>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</si>
  <si>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</si>
  <si>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</si>
  <si>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</si>
  <si>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</si>
  <si>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</si>
  <si>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</si>
  <si>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</si>
  <si>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</si>
  <si>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</si>
  <si>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</si>
  <si>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</si>
  <si>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</si>
  <si>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</si>
  <si>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</si>
  <si>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</si>
  <si>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</si>
  <si>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</si>
  <si>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</si>
  <si>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</si>
  <si>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</si>
  <si>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</si>
  <si>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</si>
  <si>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</si>
  <si>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</si>
  <si>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</si>
  <si>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</si>
  <si>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</si>
  <si>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</si>
  <si>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</si>
  <si>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</si>
  <si>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</si>
  <si>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</si>
  <si>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</si>
  <si>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</si>
  <si>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</si>
  <si>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</si>
  <si>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</si>
  <si>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</si>
  <si>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</si>
  <si>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</si>
  <si>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</si>
  <si>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</si>
  <si>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</si>
  <si>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</si>
  <si>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</si>
  <si>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</si>
  <si>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</si>
  <si>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</si>
  <si>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</si>
  <si>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</si>
  <si>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</si>
  <si>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</si>
  <si>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</si>
  <si>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</si>
  <si>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</si>
  <si>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</si>
  <si>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</si>
  <si>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</si>
  <si>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</si>
  <si>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</si>
  <si>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</si>
  <si>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</si>
  <si>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</si>
  <si>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</si>
  <si>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</si>
  <si>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</si>
  <si>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</si>
  <si>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</si>
  <si>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</si>
  <si>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</si>
  <si>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</si>
  <si>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</si>
  <si>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</si>
  <si>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</si>
  <si>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</si>
  <si>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</si>
  <si>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</si>
  <si>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</si>
  <si>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</si>
  <si>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</si>
  <si>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</si>
  <si>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</si>
  <si>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</si>
  <si>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</si>
  <si>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</si>
  <si>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</si>
  <si>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</si>
  <si>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</si>
  <si>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</si>
  <si>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</si>
  <si>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</si>
  <si>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</si>
  <si>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</si>
  <si>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</si>
  <si>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</si>
  <si>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</si>
  <si>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</si>
  <si>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</si>
  <si>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</si>
  <si>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</si>
  <si>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</si>
  <si>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</si>
  <si>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</si>
  <si>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</si>
  <si>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</si>
  <si>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</si>
  <si>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</si>
  <si>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</si>
  <si>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</si>
  <si>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</si>
  <si>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</si>
  <si>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</si>
  <si>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</si>
  <si>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</si>
  <si>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</si>
  <si>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</si>
  <si>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</si>
  <si>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</si>
  <si>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</si>
  <si>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</si>
  <si>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</si>
  <si>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</si>
  <si>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</si>
  <si>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</si>
  <si>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</si>
  <si>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</si>
  <si>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</si>
  <si>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</si>
  <si>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</si>
  <si>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</si>
  <si>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</si>
  <si>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</si>
  <si>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</si>
  <si>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</si>
  <si>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</si>
  <si>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</si>
  <si>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</si>
  <si>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</si>
  <si>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</si>
  <si>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</si>
  <si>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</si>
  <si>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</si>
  <si>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</si>
  <si>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</si>
  <si>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</si>
  <si>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</si>
  <si>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</si>
  <si>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</si>
  <si>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</si>
  <si>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</si>
  <si>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</si>
  <si>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</si>
  <si>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</si>
  <si>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</si>
  <si>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</si>
  <si>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</si>
  <si>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</si>
  <si>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</si>
  <si>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</si>
  <si>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</si>
  <si>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</si>
  <si>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</si>
  <si>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</si>
  <si>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</si>
  <si>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</si>
  <si>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</si>
  <si>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</si>
  <si>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</si>
  <si>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</si>
  <si>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</si>
  <si>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</si>
  <si>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</si>
  <si>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</si>
  <si>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</si>
  <si>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</si>
  <si>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</si>
  <si>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</si>
  <si>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</si>
  <si>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</si>
  <si>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</si>
  <si>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</si>
  <si>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</si>
  <si>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</si>
  <si>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</si>
  <si>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</si>
  <si>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</si>
  <si>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</si>
  <si>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</si>
  <si>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</si>
  <si>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</si>
  <si>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</si>
  <si>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</si>
  <si>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</si>
  <si>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</si>
  <si>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</si>
  <si>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</si>
  <si>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</si>
  <si>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</si>
  <si>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</si>
  <si>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</si>
  <si>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</si>
  <si>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</si>
  <si>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</si>
  <si>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</si>
  <si>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</si>
  <si>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</si>
  <si>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</si>
  <si>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</si>
  <si>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</si>
  <si>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</si>
  <si>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</si>
  <si>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</si>
  <si>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</si>
  <si>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</si>
  <si>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</si>
  <si>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</si>
  <si>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</si>
  <si>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</si>
  <si>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</si>
  <si>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</si>
  <si>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</si>
  <si>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</si>
  <si>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</si>
  <si>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</si>
  <si>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</si>
  <si>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</si>
  <si>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</si>
  <si>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</si>
  <si>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</si>
  <si>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</si>
  <si>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</si>
  <si>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</si>
  <si>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</si>
  <si>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</si>
  <si>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</si>
  <si>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</si>
  <si>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</si>
  <si>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</si>
  <si>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</si>
  <si>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</si>
  <si>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</si>
  <si>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</si>
  <si>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</si>
  <si>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</si>
  <si>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</si>
  <si>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</si>
  <si>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</si>
  <si>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</si>
  <si>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</si>
  <si>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</si>
  <si>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</si>
  <si>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</si>
  <si>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</si>
  <si>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</si>
  <si>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</si>
  <si>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</si>
  <si>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</si>
  <si>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</si>
  <si>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</si>
  <si>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</si>
  <si>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</si>
  <si>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</si>
  <si>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</si>
  <si>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</si>
  <si>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</si>
  <si>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</si>
  <si>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</si>
  <si>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</si>
  <si>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</si>
  <si>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</si>
  <si>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</si>
  <si>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</si>
  <si>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</si>
  <si>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</si>
  <si>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</si>
  <si>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</si>
  <si>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</si>
  <si>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</si>
  <si>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</si>
  <si>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</si>
  <si>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</si>
  <si>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</si>
  <si>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</si>
  <si>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</si>
  <si>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</si>
  <si>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</si>
  <si>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</si>
  <si>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</si>
  <si>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</si>
  <si>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</si>
  <si>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</si>
  <si>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</si>
  <si>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</si>
  <si>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</si>
  <si>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</si>
  <si>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</si>
  <si>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</si>
  <si>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</si>
  <si>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</si>
  <si>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</si>
  <si>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</si>
  <si>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</si>
  <si>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</si>
  <si>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</si>
  <si>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</si>
  <si>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</si>
  <si>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</si>
  <si>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</si>
  <si>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</si>
  <si>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</si>
  <si>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</si>
  <si>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</si>
  <si>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</si>
  <si>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</si>
  <si>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</si>
  <si>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</si>
  <si>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</si>
  <si>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</si>
  <si>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</si>
  <si>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</si>
  <si>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</si>
  <si>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</si>
  <si>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</si>
  <si>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</si>
  <si>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</si>
  <si>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</si>
  <si>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</si>
  <si>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</si>
  <si>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</si>
  <si>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</si>
  <si>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</si>
  <si>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</si>
  <si>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</si>
  <si>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</si>
  <si>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</si>
  <si>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</si>
  <si>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</si>
  <si>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</si>
  <si>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</si>
  <si>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</si>
  <si>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</si>
  <si>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</si>
  <si>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</si>
  <si>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</si>
  <si>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</si>
  <si>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</si>
  <si>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</si>
  <si>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</si>
  <si>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</si>
  <si>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</si>
  <si>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</si>
  <si>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</si>
  <si>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</si>
  <si>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</si>
  <si>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</si>
  <si>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</si>
  <si>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</si>
  <si>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</si>
  <si>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</si>
  <si>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</si>
  <si>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</si>
  <si>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</si>
  <si>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</si>
  <si>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</si>
  <si>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</si>
  <si>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</si>
  <si>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</si>
  <si>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</si>
  <si>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</si>
  <si>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</si>
  <si>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</si>
  <si>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</si>
  <si>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</si>
  <si>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</si>
  <si>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</si>
  <si>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</si>
  <si>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</si>
  <si>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</si>
  <si>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</si>
  <si>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</si>
  <si>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</si>
  <si>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</si>
  <si>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</si>
  <si>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</si>
  <si>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</si>
  <si>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</si>
  <si>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</si>
  <si>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</si>
  <si>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</si>
  <si>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</si>
  <si>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</si>
  <si>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</si>
  <si>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</si>
  <si>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</si>
  <si>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</si>
  <si>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</si>
  <si>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</si>
  <si>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</si>
  <si>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</si>
  <si>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</si>
  <si>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</si>
  <si>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</si>
  <si>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</si>
  <si>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</si>
  <si>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</si>
  <si>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</si>
  <si>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</si>
  <si>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</si>
  <si>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</si>
  <si>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</si>
  <si>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</si>
  <si>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</si>
  <si>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</si>
  <si>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</si>
  <si>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</si>
  <si>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</si>
  <si>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</si>
  <si>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</si>
  <si>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</si>
  <si>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</si>
  <si>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</si>
  <si>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</si>
  <si>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</si>
  <si>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</si>
  <si>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</si>
  <si>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</si>
  <si>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</si>
  <si>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</si>
  <si>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</si>
  <si>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</si>
  <si>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</si>
  <si>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</si>
  <si>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</si>
  <si>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</si>
  <si>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</si>
  <si>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</si>
  <si>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</si>
  <si>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</si>
  <si>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</si>
  <si>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</si>
  <si>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</si>
  <si>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</si>
  <si>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</si>
  <si>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</si>
  <si>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</si>
  <si>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</si>
  <si>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</si>
  <si>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</si>
  <si>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</si>
  <si>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</si>
  <si>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</si>
  <si>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</si>
  <si>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</si>
  <si>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</si>
  <si>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</si>
  <si>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</si>
  <si>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</si>
  <si>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</si>
  <si>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</si>
  <si>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</si>
  <si>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</si>
  <si>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</si>
  <si>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</si>
  <si>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</si>
  <si>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</si>
  <si>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</si>
  <si>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</si>
  <si>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</si>
  <si>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</si>
  <si>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</si>
  <si>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</si>
  <si>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</si>
  <si>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</si>
  <si>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</si>
  <si>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</si>
  <si>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</si>
  <si>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</si>
  <si>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</si>
  <si>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</si>
  <si>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</si>
  <si>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</si>
  <si>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</si>
  <si>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</si>
  <si>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</si>
  <si>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</si>
  <si>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</si>
  <si>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</si>
  <si>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</si>
  <si>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</si>
  <si>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</si>
  <si>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</si>
  <si>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</si>
  <si>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</si>
  <si>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</si>
  <si>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</si>
  <si>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</si>
  <si>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</si>
  <si>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</si>
  <si>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</si>
  <si>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</si>
  <si>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</si>
  <si>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</si>
  <si>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</si>
  <si>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</si>
  <si>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</si>
  <si>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</si>
  <si>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</si>
  <si>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</si>
  <si>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</si>
  <si>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</si>
  <si>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</si>
  <si>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</si>
  <si>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</si>
  <si>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</si>
  <si>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</si>
  <si>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</si>
  <si>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</si>
  <si>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</si>
  <si>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</si>
  <si>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</si>
  <si>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</si>
  <si>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</si>
  <si>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</si>
  <si>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</si>
  <si>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</si>
  <si>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</si>
  <si>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</si>
  <si>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</si>
  <si>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</si>
  <si>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</si>
  <si>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</si>
  <si>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</si>
  <si>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</si>
  <si>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</si>
  <si>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</si>
  <si>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</si>
  <si>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</si>
  <si>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</si>
  <si>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</si>
  <si>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</si>
  <si>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</si>
  <si>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</si>
  <si>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</si>
  <si>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</si>
  <si>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</si>
  <si>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</si>
  <si>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</si>
  <si>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</si>
  <si>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</si>
  <si>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</si>
  <si>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</si>
  <si>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</si>
  <si>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</si>
  <si>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</si>
  <si>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</si>
  <si>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</si>
  <si>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</si>
  <si>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</si>
  <si>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</si>
  <si>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</si>
  <si>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</si>
  <si>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</si>
  <si>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</si>
  <si>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</si>
  <si>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</si>
  <si>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</si>
  <si>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</si>
  <si>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</si>
  <si>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</si>
  <si>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</si>
  <si>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</si>
  <si>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</si>
  <si>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</si>
  <si>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</si>
  <si>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</si>
  <si>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</si>
  <si>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</si>
  <si>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</si>
  <si>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</si>
  <si>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</si>
  <si>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</si>
  <si>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</si>
  <si>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</si>
  <si>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</si>
  <si>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</si>
  <si>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</si>
  <si>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</si>
  <si>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</si>
  <si>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</si>
  <si>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</si>
  <si>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</si>
  <si>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</si>
  <si>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</si>
  <si>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</si>
  <si>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</si>
  <si>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</si>
  <si>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</si>
  <si>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</si>
  <si>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</si>
  <si>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</si>
  <si>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</si>
  <si>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</si>
  <si>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</si>
  <si>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</si>
  <si>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</si>
  <si>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</si>
  <si>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</si>
  <si>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</si>
  <si>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</si>
  <si>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</si>
  <si>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</si>
  <si>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</si>
  <si>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</si>
  <si>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</si>
  <si>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</si>
  <si>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</si>
  <si>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</si>
  <si>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</si>
  <si>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</si>
  <si>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</si>
  <si>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</si>
  <si>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</si>
  <si>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</si>
  <si>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</si>
  <si>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</si>
  <si>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</si>
  <si>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</si>
  <si>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</si>
  <si>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</si>
  <si>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</si>
  <si>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</si>
  <si>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</si>
  <si>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</si>
  <si>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</si>
  <si>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</si>
  <si>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</si>
  <si>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</si>
  <si>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</si>
  <si>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</si>
  <si>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</si>
  <si>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</si>
  <si>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</si>
  <si>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</si>
  <si>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</si>
  <si>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</si>
  <si>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</si>
  <si>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</si>
  <si>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</si>
  <si>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</si>
  <si>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</si>
  <si>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</si>
  <si>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</si>
  <si>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</si>
  <si>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</si>
  <si>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</si>
  <si>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</si>
  <si>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</si>
  <si>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</si>
  <si>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</si>
  <si>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</si>
  <si>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</si>
  <si>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</si>
  <si>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</si>
  <si>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</si>
  <si>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</si>
  <si>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</si>
  <si>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</si>
  <si>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</si>
  <si>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</si>
  <si>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</si>
  <si>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</si>
  <si>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</si>
  <si>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</si>
  <si>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</si>
  <si>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</si>
  <si>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</si>
  <si>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</si>
  <si>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</si>
  <si>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</si>
  <si>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</si>
  <si>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</si>
  <si>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</si>
  <si>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</si>
  <si>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</si>
  <si>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</si>
  <si>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</si>
  <si>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</si>
  <si>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</si>
  <si>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</si>
  <si>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</si>
  <si>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</si>
  <si>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</si>
  <si>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</si>
  <si>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</si>
  <si>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</si>
  <si>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</si>
  <si>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</si>
  <si>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</si>
  <si>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</si>
  <si>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</si>
  <si>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</si>
  <si>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</si>
  <si>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</si>
  <si>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</si>
  <si>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</si>
  <si>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</si>
  <si>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</si>
  <si>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</si>
  <si>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</si>
  <si>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</si>
  <si>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</si>
  <si>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</si>
  <si>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</si>
  <si>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</si>
  <si>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</si>
  <si>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</si>
  <si>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</si>
  <si>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</si>
  <si>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</si>
  <si>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</si>
  <si>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</si>
  <si>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</si>
  <si>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</si>
  <si>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</si>
  <si>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</si>
  <si>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</si>
  <si>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</si>
  <si>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</si>
  <si>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</si>
  <si>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</si>
  <si>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</si>
  <si>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</si>
  <si>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</si>
  <si>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</si>
  <si>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</si>
  <si>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</si>
  <si>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</si>
  <si>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</si>
  <si>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</si>
  <si>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</si>
  <si>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</si>
  <si>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</si>
  <si>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</si>
  <si>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</si>
  <si>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</si>
  <si>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</si>
  <si>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</si>
  <si>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</si>
  <si>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</si>
  <si>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</si>
  <si>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</si>
  <si>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</si>
  <si>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</si>
  <si>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</si>
  <si>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</si>
  <si>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</si>
  <si>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</si>
  <si>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</si>
  <si>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</si>
  <si>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</si>
  <si>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</si>
  <si>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</si>
  <si>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</si>
  <si>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</si>
  <si>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</si>
  <si>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</si>
  <si>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</si>
  <si>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</si>
  <si>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</si>
  <si>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</si>
  <si>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</si>
  <si>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</si>
  <si>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</si>
  <si>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</si>
  <si>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</si>
  <si>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</si>
  <si>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</si>
  <si>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</si>
  <si>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</si>
  <si>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</si>
  <si>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</si>
  <si>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</si>
  <si>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</si>
  <si>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</si>
  <si>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</si>
  <si>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</si>
  <si>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</si>
  <si>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</si>
  <si>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</si>
  <si>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</si>
  <si>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</si>
  <si>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</si>
  <si>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</si>
  <si>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</si>
  <si>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</si>
  <si>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</si>
  <si>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</si>
  <si>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</si>
  <si>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</si>
  <si>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</si>
  <si>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</si>
  <si>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</si>
  <si>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</si>
  <si>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</si>
  <si>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</si>
  <si>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</si>
  <si>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</si>
  <si>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</si>
  <si>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</si>
  <si>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</si>
  <si>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</si>
  <si>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</si>
  <si>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</si>
  <si>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</si>
  <si>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</si>
  <si>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</si>
  <si>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</si>
  <si>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</si>
  <si>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</si>
  <si>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</si>
  <si>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</si>
  <si>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</si>
  <si>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</si>
  <si>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</si>
  <si>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</si>
  <si>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</si>
  <si>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</si>
  <si>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</si>
  <si>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</si>
  <si>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</si>
  <si>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</si>
  <si>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</si>
  <si>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</si>
  <si>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</si>
  <si>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</si>
  <si>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</si>
  <si>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</si>
  <si>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</si>
  <si>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</si>
  <si>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</si>
  <si>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</si>
  <si>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</si>
  <si>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</si>
  <si>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</si>
  <si>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</si>
  <si>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</si>
  <si>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</si>
  <si>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</si>
  <si>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</si>
  <si>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</si>
  <si>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</si>
  <si>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</si>
  <si>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</si>
  <si>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</si>
  <si>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</si>
  <si>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</si>
  <si>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</si>
  <si>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</si>
  <si>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</si>
  <si>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</si>
  <si>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</si>
  <si>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</si>
  <si>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</si>
  <si>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</si>
  <si>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</si>
  <si>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</si>
  <si>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</si>
  <si>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</si>
  <si>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</si>
  <si>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</si>
  <si>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</si>
  <si>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</si>
  <si>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</si>
  <si>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</si>
  <si>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</si>
  <si>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</si>
  <si>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</si>
  <si>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</si>
  <si>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</si>
  <si>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</si>
  <si>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</si>
  <si>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</si>
  <si>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</si>
  <si>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</si>
  <si>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</si>
  <si>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</si>
  <si>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</si>
  <si>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</si>
  <si>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</si>
  <si>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</si>
  <si>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</si>
  <si>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</si>
  <si>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</si>
  <si>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</si>
  <si>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</si>
  <si>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</si>
  <si>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</si>
  <si>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</si>
  <si>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</si>
  <si>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</si>
  <si>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</si>
  <si>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</si>
  <si>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</si>
  <si>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</si>
  <si>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</si>
  <si>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</si>
  <si>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</si>
  <si>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</si>
  <si>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</si>
  <si>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</si>
  <si>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</si>
  <si>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</si>
  <si>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</si>
  <si>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</si>
  <si>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</si>
  <si>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</si>
  <si>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</si>
  <si>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</si>
  <si>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</si>
  <si>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</si>
  <si>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</si>
  <si>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</si>
  <si>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</si>
  <si>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</si>
  <si>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</si>
  <si>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</si>
  <si>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</si>
  <si>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</si>
  <si>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</si>
  <si>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</si>
  <si>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</si>
  <si>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</si>
  <si>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</si>
  <si>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</si>
  <si>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</si>
  <si>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</si>
  <si>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</si>
  <si>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</si>
  <si>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</si>
  <si>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</si>
  <si>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</si>
  <si>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</si>
  <si>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</si>
  <si>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</si>
  <si>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</si>
  <si>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</si>
  <si>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</si>
  <si>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</si>
  <si>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</si>
  <si>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</si>
  <si>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</si>
  <si>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</si>
  <si>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</si>
  <si>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</si>
  <si>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</si>
  <si>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</si>
  <si>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</si>
  <si>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</si>
  <si>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</si>
  <si>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</si>
  <si>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</si>
  <si>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</si>
  <si>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</si>
  <si>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</si>
  <si>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</si>
  <si>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</si>
  <si>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</si>
  <si>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</si>
  <si>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</si>
  <si>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</si>
  <si>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</si>
  <si>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</si>
  <si>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</si>
  <si>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</si>
  <si>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</si>
  <si>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</si>
  <si>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</si>
  <si>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</si>
  <si>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</si>
  <si>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</si>
  <si>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</si>
  <si>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</si>
  <si>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</si>
  <si>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</si>
  <si>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</si>
  <si>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</si>
  <si>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</si>
  <si>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</si>
  <si>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</si>
  <si>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</si>
  <si>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</si>
  <si>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</si>
  <si>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</si>
  <si>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</si>
  <si>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</si>
  <si>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</si>
  <si>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</si>
  <si>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</si>
  <si>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</si>
  <si>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</si>
  <si>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</si>
  <si>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</si>
  <si>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</si>
  <si>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</si>
  <si>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</si>
  <si>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</si>
  <si>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</si>
  <si>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</si>
  <si>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</si>
  <si>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</si>
  <si>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</si>
  <si>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</si>
  <si>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</si>
  <si>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</si>
  <si>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</si>
  <si>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</si>
  <si>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</si>
  <si>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</si>
  <si>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</si>
  <si>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</si>
  <si>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</si>
  <si>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</si>
  <si>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</si>
  <si>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</si>
  <si>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</si>
  <si>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</si>
  <si>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</si>
  <si>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</si>
  <si>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</si>
  <si>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</si>
  <si>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</si>
  <si>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</si>
  <si>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</si>
  <si>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</si>
  <si>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</si>
  <si>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</si>
  <si>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</si>
  <si>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</si>
  <si>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</si>
  <si>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</si>
  <si>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</si>
  <si>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</si>
  <si>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</si>
  <si>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</si>
  <si>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</si>
  <si>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</si>
  <si>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</si>
  <si>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</si>
  <si>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</si>
  <si>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</si>
  <si>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</si>
  <si>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</si>
  <si>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</si>
  <si>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</si>
  <si>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</si>
  <si>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</si>
  <si>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</si>
  <si>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</si>
  <si>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</si>
  <si>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</si>
  <si>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</si>
  <si>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</si>
  <si>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</si>
  <si>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</si>
  <si>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</si>
  <si>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</si>
  <si>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</si>
  <si>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</si>
  <si>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</si>
  <si>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</si>
  <si>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</si>
  <si>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</si>
  <si>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</si>
  <si>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</si>
  <si>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</si>
  <si>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</si>
  <si>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</si>
  <si>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</si>
  <si>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</si>
  <si>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</si>
  <si>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</si>
  <si>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</si>
  <si>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</si>
  <si>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</si>
  <si>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</si>
  <si>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</si>
  <si>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</si>
  <si>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</si>
  <si>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</si>
  <si>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</si>
  <si>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</si>
  <si>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</si>
  <si>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</si>
  <si>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</si>
  <si>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</si>
  <si>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</si>
  <si>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</si>
  <si>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</si>
  <si>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</si>
  <si>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</si>
  <si>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</si>
  <si>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</si>
  <si>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</si>
  <si>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</si>
  <si>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</si>
  <si>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</si>
  <si>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</si>
  <si>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</si>
  <si>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</si>
  <si>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</si>
  <si>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</si>
  <si>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</si>
  <si>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</si>
  <si>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</si>
  <si>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</si>
  <si>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</si>
  <si>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</si>
  <si>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</si>
  <si>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</si>
  <si>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</si>
  <si>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</si>
  <si>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</si>
  <si>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</si>
  <si>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</si>
  <si>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</si>
  <si>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</si>
  <si>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</si>
  <si>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</si>
  <si>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</si>
  <si>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</si>
  <si>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</si>
  <si>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</si>
  <si>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</si>
  <si>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</si>
  <si>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</si>
  <si>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</si>
  <si>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</si>
  <si>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</si>
  <si>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</si>
  <si>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</si>
  <si>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</si>
  <si>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</si>
  <si>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</si>
  <si>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</si>
  <si>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</si>
  <si>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</si>
  <si>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</si>
  <si>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</si>
  <si>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</si>
  <si>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</si>
  <si>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</si>
  <si>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</si>
  <si>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</si>
  <si>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</si>
  <si>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</si>
  <si>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</si>
  <si>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</si>
  <si>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</si>
  <si>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</si>
  <si>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</si>
  <si>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</si>
  <si>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</si>
  <si>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</si>
  <si>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</si>
  <si>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</si>
  <si>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</si>
  <si>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</si>
  <si>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</si>
  <si>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</si>
  <si>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</si>
  <si>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</si>
  <si>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</si>
  <si>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</si>
  <si>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</si>
  <si>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</si>
  <si>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</si>
  <si>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</si>
  <si>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</si>
  <si>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</si>
  <si>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</si>
  <si>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</si>
  <si>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</si>
  <si>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</si>
  <si>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</si>
  <si>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</si>
  <si>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</si>
  <si>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</si>
  <si>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</si>
  <si>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</si>
  <si>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</si>
  <si>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</si>
  <si>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</si>
  <si>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</si>
  <si>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</si>
  <si>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</si>
  <si>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</si>
  <si>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</si>
  <si>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</si>
  <si>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</si>
  <si>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</si>
  <si>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</si>
  <si>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</si>
  <si>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</si>
  <si>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</si>
  <si>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</si>
  <si>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</si>
  <si>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</si>
  <si>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</si>
  <si>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</si>
  <si>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</si>
  <si>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</si>
  <si>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</si>
  <si>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</si>
  <si>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</si>
  <si>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</si>
  <si>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</si>
  <si>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</si>
  <si>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</si>
  <si>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</si>
  <si>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</si>
  <si>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</si>
  <si>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</si>
  <si>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</si>
  <si>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</si>
  <si>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</si>
  <si>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</si>
  <si>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</si>
  <si>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</si>
  <si>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</si>
  <si>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</si>
  <si>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</si>
  <si>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</si>
  <si>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</si>
  <si>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</si>
  <si>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</si>
  <si>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</si>
  <si>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</si>
  <si>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</si>
  <si>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</si>
  <si>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</si>
  <si>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</si>
  <si>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</si>
  <si>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</si>
  <si>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</si>
  <si>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</si>
  <si>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</si>
  <si>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</si>
  <si>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</si>
  <si>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</si>
  <si>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</si>
  <si>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</si>
  <si>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</si>
  <si>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</si>
  <si>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</si>
  <si>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</si>
  <si>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</si>
  <si>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</si>
  <si>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</si>
  <si>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</si>
  <si>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</si>
  <si>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</si>
  <si>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</si>
  <si>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</si>
  <si>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</si>
  <si>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</si>
  <si>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</si>
  <si>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</si>
  <si>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</si>
  <si>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</si>
  <si>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</si>
  <si>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</si>
  <si>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</si>
  <si>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</si>
  <si>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</si>
  <si>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</si>
  <si>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</si>
  <si>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</si>
  <si>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</si>
  <si>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</si>
  <si>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</si>
  <si>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</si>
  <si>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</si>
  <si>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</si>
  <si>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</si>
  <si>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</si>
  <si>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</si>
  <si>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</si>
  <si>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</si>
  <si>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</si>
  <si>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</si>
  <si>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</si>
  <si>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</si>
  <si>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</si>
  <si>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</si>
  <si>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</si>
  <si>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</si>
  <si>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</si>
  <si>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</si>
  <si>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</si>
  <si>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</si>
  <si>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</si>
  <si>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</si>
  <si>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</si>
  <si>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</si>
  <si>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</si>
  <si>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</si>
  <si>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</si>
  <si>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</si>
  <si>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</si>
  <si>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</si>
  <si>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</si>
  <si>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</si>
  <si>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</si>
  <si>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</si>
  <si>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</si>
  <si>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</si>
  <si>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</si>
  <si>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</si>
  <si>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</si>
  <si>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</si>
  <si>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</si>
  <si>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</si>
  <si>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</si>
  <si>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</si>
  <si>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</si>
  <si>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</si>
  <si>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</si>
  <si>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</si>
  <si>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</si>
  <si>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</si>
  <si>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</si>
  <si>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</si>
  <si>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</si>
  <si>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</si>
  <si>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</si>
  <si>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</si>
  <si>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</si>
  <si>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</si>
  <si>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</si>
  <si>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</si>
  <si>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</si>
  <si>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</si>
  <si>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</si>
  <si>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</si>
  <si>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</si>
  <si>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</si>
  <si>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</si>
  <si>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</si>
  <si>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</si>
  <si>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</si>
  <si>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</si>
  <si>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</si>
  <si>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</si>
  <si>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</si>
  <si>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</si>
  <si>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</si>
  <si>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</si>
  <si>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</si>
  <si>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</si>
  <si>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</si>
  <si>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</si>
  <si>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</si>
  <si>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</si>
  <si>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</si>
  <si>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</si>
  <si>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</si>
  <si>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</si>
  <si>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</si>
  <si>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</si>
  <si>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</si>
  <si>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</si>
  <si>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</si>
  <si>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</si>
  <si>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</si>
  <si>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</si>
  <si>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</si>
  <si>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</si>
  <si>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</si>
  <si>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</si>
  <si>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</si>
  <si>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</si>
  <si>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</si>
  <si>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</si>
  <si>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</si>
  <si>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</si>
  <si>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</si>
  <si>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</si>
  <si>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</si>
  <si>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</si>
  <si>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</si>
  <si>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</si>
  <si>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</si>
  <si>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</si>
  <si>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</si>
  <si>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</si>
  <si>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</si>
  <si>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</si>
  <si>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</si>
  <si>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</si>
  <si>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</si>
  <si>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</si>
  <si>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</si>
  <si>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</si>
  <si>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</si>
  <si>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</si>
  <si>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</si>
  <si>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</si>
  <si>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</si>
  <si>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</si>
  <si>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</si>
  <si>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</si>
  <si>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</si>
  <si>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</si>
  <si>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</si>
  <si>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</si>
  <si>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</si>
  <si>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</si>
  <si>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</si>
  <si>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</si>
  <si>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</si>
  <si>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</si>
  <si>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</si>
  <si>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</si>
  <si>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</si>
  <si>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</si>
  <si>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</si>
  <si>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</si>
  <si>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</si>
  <si>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</si>
  <si>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</si>
  <si>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</si>
  <si>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</si>
  <si>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</si>
  <si>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</si>
  <si>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</si>
  <si>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</si>
  <si>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</si>
  <si>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</si>
  <si>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</si>
  <si>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</si>
  <si>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</si>
  <si>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</si>
  <si>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</si>
  <si>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</si>
  <si>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</si>
  <si>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</si>
  <si>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</si>
  <si>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</si>
  <si>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</si>
  <si>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</si>
  <si>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</si>
  <si>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</si>
  <si>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</si>
  <si>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</si>
  <si>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</si>
  <si>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</si>
  <si>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</si>
  <si>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</si>
  <si>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</si>
  <si>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</si>
  <si>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</si>
  <si>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</si>
  <si>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</si>
  <si>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</si>
  <si>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</si>
  <si>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</si>
  <si>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</si>
  <si>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</si>
  <si>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</si>
  <si>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</si>
  <si>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</si>
  <si>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</si>
  <si>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</si>
  <si>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</si>
  <si>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</si>
  <si>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</si>
  <si>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</si>
  <si>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</si>
  <si>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</si>
  <si>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</si>
  <si>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</si>
  <si>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</si>
  <si>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</si>
  <si>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</si>
  <si>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</si>
  <si>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</si>
  <si>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</si>
  <si>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</si>
  <si>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</si>
  <si>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</si>
  <si>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</si>
  <si>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</si>
  <si>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</si>
  <si>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</si>
  <si>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</si>
  <si>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</si>
  <si>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</si>
  <si>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</si>
  <si>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</si>
  <si>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</si>
  <si>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</si>
  <si>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</si>
  <si>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</si>
  <si>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</si>
  <si>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</si>
  <si>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</si>
  <si>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</si>
  <si>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</si>
  <si>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</si>
  <si>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</si>
  <si>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</si>
  <si>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</si>
  <si>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</si>
  <si>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</si>
  <si>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</si>
  <si>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</si>
  <si>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</si>
  <si>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</si>
  <si>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</si>
  <si>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</si>
  <si>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</si>
  <si>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</si>
  <si>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</si>
  <si>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</si>
  <si>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</si>
  <si>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</si>
  <si>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</si>
  <si>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</si>
  <si>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</si>
  <si>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</si>
  <si>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</si>
  <si>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</si>
  <si>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</si>
  <si>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</si>
  <si>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</si>
  <si>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</si>
  <si>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</si>
  <si>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</si>
  <si>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</si>
  <si>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</si>
  <si>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</si>
  <si>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</si>
  <si>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</si>
  <si>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</si>
  <si>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</si>
  <si>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</si>
  <si>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</si>
  <si>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</si>
  <si>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</si>
  <si>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</si>
  <si>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</si>
  <si>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</si>
  <si>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</si>
  <si>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</si>
  <si>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</si>
  <si>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</si>
  <si>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</si>
  <si>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</si>
  <si>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</si>
  <si>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</si>
  <si>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</si>
  <si>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</si>
  <si>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</si>
  <si>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</si>
  <si>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</si>
  <si>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</si>
  <si>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</si>
  <si>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</si>
  <si>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</si>
  <si>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</si>
  <si>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</si>
  <si>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</si>
  <si>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</si>
  <si>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</si>
  <si>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</si>
  <si>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</si>
  <si>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</si>
  <si>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</si>
  <si>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</si>
  <si>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</si>
  <si>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</si>
  <si>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</si>
  <si>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</si>
  <si>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</si>
  <si>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</si>
  <si>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</si>
  <si>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</si>
  <si>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</si>
  <si>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</si>
  <si>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</si>
  <si>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</si>
  <si>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</si>
  <si>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</si>
  <si>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</si>
  <si>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</si>
  <si>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</si>
  <si>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</si>
  <si>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</si>
  <si>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</si>
  <si>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</si>
  <si>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</si>
  <si>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</si>
  <si>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</si>
  <si>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</si>
  <si>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</si>
  <si>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</si>
  <si>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</si>
  <si>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</si>
  <si>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</si>
  <si>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</si>
  <si>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</si>
  <si>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</si>
  <si>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</si>
  <si>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</si>
  <si>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</si>
  <si>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</si>
  <si>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</si>
  <si>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</si>
  <si>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</si>
  <si>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</si>
  <si>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</si>
  <si>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</si>
  <si>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</si>
  <si>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</si>
  <si>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</si>
  <si>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</si>
  <si>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</si>
  <si>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</si>
  <si>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</si>
  <si>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</si>
  <si>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</si>
  <si>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</si>
  <si>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</si>
  <si>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</si>
  <si>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</si>
  <si>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</si>
  <si>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</si>
  <si>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</si>
  <si>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</si>
  <si>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</si>
  <si>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</si>
  <si>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</si>
  <si>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</si>
  <si>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</si>
  <si>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</si>
  <si>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</si>
  <si>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</si>
  <si>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</si>
  <si>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</si>
  <si>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</si>
  <si>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</si>
  <si>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</si>
  <si>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</si>
  <si>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</si>
  <si>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</si>
  <si>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</si>
  <si>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</si>
  <si>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</si>
  <si>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</si>
  <si>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</si>
  <si>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</si>
  <si>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</si>
  <si>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</si>
  <si>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</si>
  <si>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</si>
  <si>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</si>
  <si>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</si>
  <si>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</si>
  <si>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</si>
  <si>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</si>
  <si>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</si>
  <si>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</si>
  <si>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</si>
  <si>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</si>
  <si>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</si>
  <si>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</si>
  <si>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</si>
  <si>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</si>
  <si>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</si>
  <si>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</si>
  <si>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</si>
  <si>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</si>
  <si>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</si>
  <si>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</si>
  <si>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</si>
  <si>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</si>
  <si>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</si>
  <si>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</si>
  <si>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</si>
  <si>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</si>
  <si>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</si>
  <si>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</si>
  <si>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</si>
  <si>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</si>
  <si>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</si>
  <si>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</si>
  <si>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</si>
  <si>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</si>
  <si>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</si>
  <si>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</si>
  <si>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</si>
  <si>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</si>
  <si>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</si>
  <si>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</si>
  <si>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</si>
  <si>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</si>
  <si>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</si>
  <si>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</si>
  <si>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</si>
  <si>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</si>
  <si>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</si>
  <si>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</si>
  <si>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</si>
  <si>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</si>
  <si>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</si>
  <si>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</si>
  <si>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</si>
  <si>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</si>
  <si>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</si>
  <si>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</si>
  <si>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</si>
  <si>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</si>
  <si>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</si>
  <si>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</si>
  <si>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</si>
  <si>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</si>
  <si>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</si>
  <si>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</si>
  <si>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</si>
  <si>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</si>
  <si>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</si>
  <si>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</si>
  <si>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</si>
  <si>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</si>
  <si>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</si>
  <si>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</si>
  <si>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</si>
  <si>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</si>
  <si>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</si>
  <si>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</si>
  <si>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</si>
  <si>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</si>
  <si>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</si>
  <si>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</si>
  <si>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</si>
  <si>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</si>
  <si>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</si>
  <si>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</si>
  <si>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</si>
  <si>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</si>
  <si>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</si>
  <si>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</si>
  <si>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</si>
  <si>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</si>
  <si>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</si>
  <si>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</si>
  <si>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</si>
  <si>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</si>
  <si>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</si>
  <si>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</si>
  <si>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</si>
  <si>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</si>
  <si>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</si>
  <si>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</si>
  <si>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</si>
  <si>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</si>
  <si>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</si>
  <si>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</si>
  <si>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</si>
  <si>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</si>
  <si>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</si>
  <si>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</si>
  <si>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</si>
  <si>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</si>
  <si>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</si>
  <si>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</si>
  <si>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</si>
  <si>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</si>
  <si>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</si>
  <si>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</si>
  <si>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</si>
  <si>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</si>
  <si>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</si>
  <si>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</si>
  <si>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</si>
  <si>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</si>
  <si>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</si>
  <si>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</si>
  <si>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</si>
  <si>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</si>
  <si>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</si>
  <si>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</si>
  <si>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</si>
  <si>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</si>
  <si>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</si>
  <si>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</si>
  <si>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</si>
  <si>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</si>
  <si>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</si>
  <si>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</si>
  <si>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</si>
  <si>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</si>
  <si>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</si>
  <si>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</si>
  <si>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</si>
  <si>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</si>
  <si>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</si>
  <si>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</si>
  <si>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</si>
  <si>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</si>
  <si>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</si>
  <si>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</si>
  <si>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</si>
  <si>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</si>
  <si>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</si>
  <si>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</si>
  <si>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</si>
  <si>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</si>
  <si>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</si>
  <si>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</si>
  <si>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</si>
  <si>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</si>
  <si>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</si>
  <si>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</si>
  <si>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</si>
  <si>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</si>
  <si>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</si>
  <si>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</si>
  <si>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</si>
  <si>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</si>
  <si>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</si>
  <si>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</si>
  <si>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</si>
  <si>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</si>
  <si>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</si>
  <si>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</si>
  <si>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</si>
  <si>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</si>
  <si>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</si>
  <si>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</si>
  <si>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</si>
  <si>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</si>
  <si>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</si>
  <si>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</si>
  <si>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</si>
  <si>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</si>
  <si>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</si>
  <si>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</si>
  <si>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</si>
  <si>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</si>
  <si>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</si>
  <si>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</si>
  <si>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</si>
  <si>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</si>
  <si>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</si>
  <si>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</si>
  <si>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</si>
  <si>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</si>
  <si>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</si>
  <si>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</si>
  <si>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</si>
  <si>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</si>
  <si>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</si>
  <si>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</si>
  <si>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</si>
  <si>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</si>
  <si>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</si>
  <si>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</si>
  <si>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</si>
  <si>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</si>
  <si>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</si>
  <si>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</si>
  <si>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</si>
  <si>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</si>
  <si>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</si>
  <si>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</si>
  <si>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</si>
  <si>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</si>
  <si>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</si>
  <si>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</si>
  <si>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</si>
  <si>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</si>
  <si>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</si>
  <si>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</si>
  <si>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</si>
  <si>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</si>
  <si>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</si>
  <si>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</si>
  <si>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</si>
  <si>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</si>
  <si>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</si>
  <si>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</si>
  <si>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</si>
  <si>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</si>
  <si>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</si>
  <si>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</si>
  <si>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</si>
  <si>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</si>
  <si>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</si>
  <si>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</si>
  <si>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</si>
  <si>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</si>
  <si>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</si>
  <si>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</si>
  <si>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</si>
  <si>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</si>
  <si>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</si>
  <si>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</si>
  <si>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</si>
  <si>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</si>
  <si>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</si>
  <si>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</si>
  <si>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</si>
  <si>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</si>
  <si>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</si>
  <si>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</si>
  <si>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</si>
  <si>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</si>
  <si>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</si>
  <si>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</si>
  <si>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</si>
  <si>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</si>
  <si>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</si>
  <si>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</si>
  <si>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</si>
  <si>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</si>
  <si>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</si>
  <si>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</si>
  <si>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</si>
  <si>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</si>
  <si>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</si>
  <si>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</si>
  <si>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</si>
  <si>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</si>
  <si>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</si>
  <si>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</si>
  <si>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</si>
  <si>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</si>
  <si>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</si>
  <si>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</si>
  <si>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</si>
  <si>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</si>
  <si>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</si>
  <si>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</si>
  <si>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</si>
  <si>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</si>
  <si>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</si>
  <si>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</si>
  <si>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</si>
  <si>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</si>
  <si>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</si>
  <si>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</si>
  <si>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</si>
  <si>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</si>
  <si>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</si>
  <si>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</si>
  <si>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</si>
  <si>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</si>
  <si>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</si>
  <si>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</si>
  <si>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</si>
  <si>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</si>
  <si>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</si>
  <si>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</si>
  <si>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</si>
  <si>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</si>
  <si>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</si>
  <si>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</si>
  <si>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</si>
  <si>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</si>
  <si>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</si>
  <si>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</si>
  <si>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</si>
  <si>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</si>
  <si>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</si>
  <si>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</si>
  <si>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</si>
  <si>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</si>
  <si>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</si>
  <si>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</si>
  <si>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</si>
  <si>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</si>
  <si>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</si>
  <si>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</si>
  <si>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</si>
  <si>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</si>
  <si>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</si>
  <si>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</si>
  <si>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</si>
  <si>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</si>
  <si>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</si>
  <si>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</si>
  <si>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</si>
  <si>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</si>
  <si>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</si>
  <si>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</si>
  <si>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</si>
  <si>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</si>
  <si>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</si>
  <si>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</si>
  <si>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</si>
  <si>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</si>
  <si>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</si>
  <si>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</si>
  <si>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</si>
  <si>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</si>
  <si>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</si>
  <si>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</si>
  <si>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</si>
  <si>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</si>
  <si>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</si>
  <si>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</si>
  <si>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</si>
  <si>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</si>
  <si>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</si>
  <si>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</si>
  <si>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</si>
  <si>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</si>
  <si>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</si>
  <si>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</si>
  <si>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</si>
  <si>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</si>
  <si>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</si>
  <si>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</si>
  <si>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</si>
  <si>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</si>
  <si>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</si>
  <si>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</si>
  <si>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</si>
  <si>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</si>
  <si>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</si>
  <si>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</si>
  <si>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</si>
  <si>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</si>
  <si>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</si>
  <si>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</si>
  <si>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</si>
  <si>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</si>
  <si>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</si>
  <si>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</si>
  <si>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</si>
  <si>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</si>
  <si>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</si>
  <si>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</si>
  <si>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</si>
  <si>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</si>
  <si>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</si>
  <si>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</si>
  <si>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</si>
  <si>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</si>
  <si>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</si>
  <si>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</si>
  <si>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</si>
  <si>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</si>
  <si>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</si>
  <si>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</si>
  <si>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</si>
  <si>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</si>
  <si>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</si>
  <si>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</si>
  <si>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</si>
  <si>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</si>
  <si>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</si>
  <si>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</si>
  <si>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</si>
  <si>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</si>
  <si>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</si>
  <si>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</si>
  <si>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</si>
  <si>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</si>
  <si>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</si>
  <si>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</si>
  <si>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</si>
  <si>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</si>
  <si>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</si>
  <si>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</si>
  <si>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</si>
  <si>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</si>
  <si>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</si>
  <si>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</si>
  <si>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</si>
  <si>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</si>
  <si>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</si>
  <si>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</si>
  <si>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</si>
  <si>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</si>
  <si>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</si>
  <si>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</si>
  <si>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</si>
  <si>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</si>
  <si>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</si>
  <si>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</si>
  <si>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</si>
  <si>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</si>
  <si>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</si>
  <si>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</si>
  <si>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</si>
  <si>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</si>
  <si>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</si>
  <si>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</si>
  <si>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</si>
  <si>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</si>
  <si>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</si>
  <si>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</si>
  <si>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</si>
  <si>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</si>
  <si>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</si>
  <si>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</si>
  <si>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</si>
  <si>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</si>
  <si>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</si>
  <si>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</si>
  <si>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</si>
  <si>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</si>
  <si>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</si>
  <si>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</si>
  <si>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</si>
  <si>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</si>
  <si>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</si>
  <si>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</si>
  <si>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</si>
  <si>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</si>
  <si>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</si>
  <si>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</si>
  <si>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</si>
  <si>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</si>
  <si>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</si>
  <si>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</si>
  <si>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</si>
  <si>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</si>
  <si>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</si>
  <si>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</si>
  <si>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</si>
  <si>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</si>
  <si>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</si>
  <si>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</si>
  <si>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</si>
  <si>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</si>
  <si>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</si>
  <si>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</si>
  <si>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</si>
  <si>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</si>
  <si>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</si>
  <si>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</si>
  <si>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</si>
  <si>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</si>
  <si>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</si>
  <si>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</si>
  <si>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</si>
  <si>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</si>
  <si>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</si>
  <si>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</si>
  <si>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</si>
  <si>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</si>
  <si>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</si>
  <si>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</si>
  <si>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</si>
  <si>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</si>
  <si>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</si>
  <si>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</si>
  <si>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</si>
  <si>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</si>
  <si>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</si>
  <si>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</si>
  <si>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</si>
  <si>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</si>
  <si>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</si>
  <si>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</si>
  <si>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</si>
  <si>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</si>
  <si>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</si>
  <si>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</si>
  <si>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</si>
  <si>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</si>
  <si>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</si>
  <si>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</si>
  <si>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</si>
  <si>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</si>
  <si>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</si>
  <si>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</si>
  <si>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</si>
  <si>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</si>
  <si>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</si>
  <si>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</si>
  <si>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</si>
  <si>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</si>
  <si>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</si>
  <si>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</si>
  <si>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</si>
  <si>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</si>
  <si>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</si>
  <si>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</si>
  <si>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</si>
  <si>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</si>
  <si>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</si>
  <si>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</si>
  <si>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</si>
  <si>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</si>
  <si>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</si>
  <si>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</si>
  <si>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</si>
  <si>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</si>
  <si>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</si>
  <si>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</si>
  <si>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</si>
  <si>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</si>
  <si>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</si>
  <si>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</si>
  <si>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</si>
  <si>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</si>
  <si>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</si>
  <si>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</si>
  <si>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</si>
  <si>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</si>
  <si>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</si>
  <si>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</si>
  <si>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</si>
  <si>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</si>
  <si>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</si>
  <si>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</si>
  <si>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</si>
  <si>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</si>
  <si>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</si>
  <si>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</si>
  <si>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</si>
  <si>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</si>
  <si>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</si>
  <si>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</si>
  <si>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</si>
  <si>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</si>
  <si>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</si>
  <si>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</si>
  <si>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</si>
  <si>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</si>
  <si>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</si>
  <si>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</si>
  <si>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</si>
  <si>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</si>
  <si>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</si>
  <si>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</si>
  <si>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</si>
  <si>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</si>
  <si>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</si>
  <si>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</si>
  <si>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</si>
  <si>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</si>
  <si>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</si>
  <si>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</si>
  <si>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</si>
  <si>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</si>
  <si>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</si>
  <si>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</si>
  <si>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</si>
  <si>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</si>
  <si>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</si>
  <si>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</si>
  <si>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</si>
  <si>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</si>
  <si>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</si>
  <si>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</si>
  <si>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</si>
  <si>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</si>
  <si>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</si>
  <si>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</si>
  <si>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</si>
  <si>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</si>
  <si>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</si>
  <si>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</si>
  <si>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</si>
  <si>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</si>
  <si>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</si>
  <si>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</si>
  <si>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</si>
  <si>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</si>
  <si>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</si>
  <si>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</si>
  <si>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</si>
  <si>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</si>
  <si>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</si>
  <si>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</si>
  <si>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</si>
  <si>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</si>
  <si>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</si>
  <si>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</si>
  <si>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</si>
  <si>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</si>
  <si>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</si>
  <si>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</si>
  <si>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</si>
  <si>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</si>
  <si>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</si>
  <si>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</si>
  <si>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</si>
  <si>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</si>
  <si>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</si>
  <si>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</si>
  <si>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</si>
  <si>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</si>
  <si>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</si>
  <si>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</si>
  <si>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</si>
  <si>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</si>
  <si>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</si>
  <si>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</si>
  <si>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</si>
  <si>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</si>
  <si>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</si>
  <si>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</si>
  <si>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</si>
  <si>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</si>
  <si>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</si>
  <si>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</si>
  <si>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</si>
  <si>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</si>
  <si>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</si>
  <si>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</si>
  <si>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</si>
  <si>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</si>
  <si>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</si>
  <si>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</si>
  <si>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</si>
  <si>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</si>
  <si>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</si>
  <si>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</si>
  <si>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</si>
  <si>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</si>
  <si>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</si>
  <si>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</si>
  <si>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</si>
  <si>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</si>
  <si>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</si>
  <si>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</si>
  <si>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</si>
  <si>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</si>
  <si>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</si>
  <si>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</si>
  <si>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</si>
  <si>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</si>
  <si>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</si>
  <si>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</si>
  <si>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</si>
  <si>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</si>
  <si>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</si>
  <si>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</si>
  <si>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</si>
  <si>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</si>
  <si>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</si>
  <si>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</si>
  <si>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</si>
  <si>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</si>
  <si>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</si>
  <si>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</si>
  <si>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</si>
  <si>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</si>
  <si>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</si>
  <si>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</si>
  <si>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</si>
  <si>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</si>
  <si>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</si>
  <si>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</si>
  <si>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</si>
  <si>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</si>
  <si>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</si>
  <si>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</si>
  <si>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</si>
  <si>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</si>
  <si>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</si>
  <si>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</si>
  <si>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</si>
  <si>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</si>
  <si>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</si>
  <si>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</si>
  <si>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</si>
  <si>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</si>
  <si>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</si>
  <si>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</si>
  <si>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</si>
  <si>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</si>
  <si>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</si>
  <si>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</si>
  <si>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</si>
  <si>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</si>
  <si>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</si>
  <si>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</si>
  <si>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</si>
  <si>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</si>
  <si>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</si>
  <si>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</si>
  <si>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</si>
  <si>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</si>
  <si>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</si>
  <si>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</si>
  <si>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</si>
  <si>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</si>
  <si>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</si>
  <si>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</si>
  <si>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</si>
  <si>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</si>
  <si>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</si>
  <si>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</si>
  <si>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</si>
  <si>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</si>
  <si>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</si>
  <si>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</si>
  <si>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</si>
  <si>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</si>
  <si>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</si>
  <si>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</si>
  <si>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</si>
  <si>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</si>
  <si>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</si>
  <si>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</si>
  <si>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</si>
  <si>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</si>
  <si>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</si>
  <si>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</si>
  <si>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</si>
  <si>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</si>
  <si>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</si>
  <si>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</si>
  <si>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</si>
  <si>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</si>
  <si>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</si>
  <si>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</si>
  <si>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</si>
  <si>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</si>
  <si>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</si>
  <si>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</si>
  <si>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</si>
  <si>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</si>
  <si>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</si>
  <si>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</si>
  <si>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</si>
  <si>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</si>
  <si>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</si>
  <si>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</si>
  <si>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</si>
  <si>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</si>
  <si>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</si>
  <si>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</si>
  <si>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</si>
  <si>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</si>
  <si>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</si>
  <si>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</si>
  <si>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</si>
  <si>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</si>
  <si>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</si>
  <si>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</si>
  <si>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</si>
  <si>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</si>
  <si>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</si>
  <si>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</si>
  <si>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</si>
  <si>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</si>
  <si>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</si>
  <si>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</si>
  <si>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</si>
  <si>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</si>
  <si>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</si>
  <si>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</si>
  <si>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</si>
  <si>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</si>
  <si>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</si>
  <si>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</si>
  <si>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</si>
  <si>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</si>
  <si>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</si>
  <si>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</si>
  <si>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</si>
  <si>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</si>
  <si>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</si>
  <si>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</si>
  <si>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</si>
  <si>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</si>
  <si>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</si>
  <si>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</si>
  <si>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</si>
  <si>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</si>
  <si>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</si>
  <si>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</si>
  <si>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</si>
  <si>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</si>
  <si>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</si>
  <si>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</si>
  <si>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</si>
  <si>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</si>
  <si>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</si>
  <si>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</si>
  <si>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</si>
  <si>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</si>
  <si>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</si>
  <si>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</si>
  <si>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</si>
  <si>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</si>
  <si>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</si>
  <si>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</si>
  <si>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</si>
  <si>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</si>
  <si>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</si>
  <si>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</si>
  <si>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</si>
  <si>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</si>
  <si>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</si>
  <si>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</si>
  <si>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</si>
  <si>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</si>
  <si>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</si>
  <si>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</si>
  <si>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</si>
  <si>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</si>
  <si>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</si>
  <si>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</si>
  <si>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</si>
  <si>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</si>
  <si>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</si>
  <si>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</si>
  <si>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</si>
  <si>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</si>
  <si>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</si>
  <si>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</si>
  <si>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</si>
  <si>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</si>
  <si>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</si>
  <si>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</si>
  <si>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</si>
  <si>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</si>
  <si>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</si>
  <si>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</si>
  <si>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</si>
  <si>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</si>
  <si>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</si>
  <si>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</si>
  <si>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</si>
  <si>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</si>
  <si>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</si>
  <si>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</si>
  <si>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</si>
  <si>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</si>
  <si>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</si>
  <si>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</si>
  <si>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</si>
  <si>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</si>
  <si>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</si>
  <si>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</si>
  <si>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</si>
  <si>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</si>
  <si>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</si>
  <si>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</si>
  <si>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</si>
  <si>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</si>
  <si>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</si>
  <si>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</si>
  <si>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</si>
  <si>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</si>
  <si>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</si>
  <si>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</si>
  <si>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</si>
  <si>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</si>
  <si>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</si>
  <si>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</si>
  <si>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</si>
  <si>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</si>
  <si>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</si>
  <si>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</si>
  <si>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</si>
  <si>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</si>
  <si>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</si>
  <si>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</si>
  <si>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</si>
  <si>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</si>
  <si>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</si>
  <si>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</si>
  <si>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</si>
  <si>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</si>
  <si>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</si>
  <si>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</si>
  <si>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</si>
  <si>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</si>
  <si>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</si>
  <si>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</si>
  <si>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</si>
  <si>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</si>
  <si>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</si>
  <si>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</si>
  <si>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</si>
  <si>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</si>
  <si>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</si>
  <si>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</si>
  <si>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</si>
  <si>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</si>
  <si>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</si>
  <si>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</si>
  <si>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</si>
  <si>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</si>
  <si>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</si>
  <si>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</si>
  <si>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</si>
  <si>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</si>
  <si>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</si>
  <si>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</si>
  <si>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</si>
  <si>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</si>
  <si>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</si>
  <si>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</si>
  <si>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</si>
  <si>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</si>
  <si>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</si>
  <si>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</si>
  <si>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</si>
  <si>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</si>
  <si>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</si>
  <si>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</si>
  <si>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</si>
  <si>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</si>
  <si>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</si>
  <si>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</si>
  <si>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</si>
  <si>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</si>
  <si>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</si>
  <si>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</si>
  <si>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</si>
  <si>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</si>
  <si>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</si>
  <si>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</si>
  <si>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</si>
  <si>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</si>
  <si>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</si>
  <si>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</si>
  <si>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</si>
  <si>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</si>
  <si>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</si>
  <si>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</si>
  <si>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</si>
  <si>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</si>
  <si>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</si>
  <si>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</si>
  <si>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</si>
  <si>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</si>
  <si>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</si>
  <si>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</si>
  <si>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</si>
  <si>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</si>
  <si>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</si>
  <si>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</si>
  <si>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</si>
  <si>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</si>
  <si>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</si>
  <si>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</si>
  <si>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</si>
  <si>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</si>
  <si>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</si>
  <si>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</si>
  <si>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</si>
  <si>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</si>
  <si>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</si>
  <si>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</si>
  <si>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</si>
  <si>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</si>
  <si>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</si>
  <si>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</si>
  <si>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</si>
  <si>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</si>
  <si>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</si>
  <si>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</si>
  <si>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</si>
  <si>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</si>
  <si>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</si>
  <si>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</si>
  <si>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</si>
  <si>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</si>
  <si>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</si>
  <si>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</si>
  <si>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</si>
  <si>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</si>
  <si>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</si>
  <si>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</si>
  <si>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</si>
  <si>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</si>
  <si>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</si>
  <si>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</si>
  <si>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</si>
  <si>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</si>
  <si>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</si>
  <si>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</si>
  <si>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</si>
  <si>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</si>
  <si>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</si>
  <si>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</si>
  <si>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</si>
  <si>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</si>
  <si>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</si>
  <si>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</si>
  <si>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</si>
  <si>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</si>
  <si>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</si>
  <si>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</si>
  <si>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</si>
  <si>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</si>
  <si>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</si>
  <si>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</si>
  <si>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</si>
  <si>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</si>
  <si>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</si>
  <si>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</si>
  <si>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</si>
  <si>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</si>
  <si>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</si>
  <si>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</si>
  <si>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</si>
  <si>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</si>
  <si>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</si>
  <si>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</si>
  <si>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</si>
  <si>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</si>
  <si>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</si>
  <si>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</si>
  <si>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</si>
  <si>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</si>
  <si>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</si>
  <si>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</si>
  <si>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</si>
  <si>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</si>
  <si>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</si>
  <si>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</si>
  <si>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</si>
  <si>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</si>
  <si>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</si>
  <si>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</si>
  <si>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</si>
  <si>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</si>
  <si>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</si>
  <si>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</si>
  <si>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</si>
  <si>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</si>
  <si>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</si>
  <si>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</si>
  <si>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</si>
  <si>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</si>
  <si>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</si>
  <si>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</si>
  <si>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</si>
  <si>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</si>
  <si>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</si>
  <si>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</si>
  <si>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</si>
  <si>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</si>
  <si>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</si>
  <si>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</si>
  <si>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</si>
  <si>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</si>
  <si>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</si>
  <si>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</si>
  <si>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</si>
  <si>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</si>
  <si>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</si>
  <si>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</si>
  <si>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</si>
  <si>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</si>
  <si>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</si>
  <si>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</si>
  <si>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</si>
  <si>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</si>
  <si>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</si>
  <si>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</si>
  <si>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</si>
  <si>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</si>
  <si>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</si>
  <si>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</si>
  <si>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</si>
  <si>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</si>
  <si>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</si>
  <si>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</si>
  <si>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</si>
  <si>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</si>
  <si>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</si>
  <si>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</si>
  <si>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</si>
  <si>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</si>
  <si>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</si>
  <si>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</si>
  <si>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</si>
  <si>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</si>
  <si>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</si>
  <si>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</si>
  <si>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</si>
  <si>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</si>
  <si>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</si>
  <si>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</si>
  <si>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</si>
  <si>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</si>
  <si>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</si>
  <si>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</si>
  <si>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</si>
  <si>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</si>
  <si>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</si>
  <si>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</si>
  <si>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</si>
  <si>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</si>
  <si>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</si>
  <si>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</si>
  <si>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</si>
  <si>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</si>
  <si>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</si>
  <si>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</si>
  <si>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</si>
  <si>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</si>
  <si>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</si>
  <si>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</si>
  <si>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</si>
  <si>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</si>
  <si>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</si>
  <si>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</si>
  <si>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</si>
  <si>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</si>
  <si>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</si>
  <si>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</si>
  <si>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</si>
  <si>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</si>
  <si>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</si>
  <si>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</si>
  <si>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</si>
  <si>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</si>
  <si>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</si>
  <si>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</si>
  <si>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</si>
  <si>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</si>
  <si>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</si>
  <si>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</si>
  <si>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</si>
  <si>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</si>
  <si>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</si>
  <si>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</si>
  <si>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</si>
  <si>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</si>
  <si>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</si>
  <si>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</si>
  <si>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</si>
  <si>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</si>
  <si>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</si>
  <si>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</si>
  <si>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</si>
  <si>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</si>
  <si>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</si>
  <si>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</si>
  <si>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</si>
  <si>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</si>
  <si>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</si>
  <si>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</si>
  <si>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</si>
  <si>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</si>
  <si>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</si>
  <si>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</si>
  <si>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</si>
  <si>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</si>
  <si>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</si>
  <si>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</si>
  <si>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</si>
  <si>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</si>
  <si>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</si>
  <si>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</si>
  <si>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</si>
  <si>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</si>
  <si>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</si>
  <si>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</si>
  <si>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</si>
  <si>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</si>
  <si>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</si>
  <si>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</si>
  <si>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</si>
  <si>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</si>
  <si>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</si>
  <si>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</si>
  <si>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</si>
  <si>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</si>
  <si>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</si>
  <si>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</si>
  <si>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</si>
  <si>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</si>
  <si>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</si>
  <si>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</si>
  <si>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</si>
  <si>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</si>
  <si>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</si>
  <si>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</si>
  <si>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</si>
  <si>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</si>
  <si>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</si>
  <si>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</si>
  <si>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</si>
  <si>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</si>
  <si>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</si>
  <si>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</si>
  <si>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</si>
  <si>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</si>
  <si>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</si>
  <si>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</si>
  <si>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</si>
  <si>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</si>
  <si>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</si>
  <si>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</si>
  <si>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</si>
  <si>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</si>
  <si>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</si>
  <si>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</si>
  <si>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</si>
  <si>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</si>
  <si>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</si>
  <si>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</si>
  <si>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</si>
  <si>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</si>
  <si>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</si>
  <si>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</si>
  <si>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</si>
  <si>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</si>
  <si>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</si>
  <si>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</si>
  <si>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</si>
  <si>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</si>
  <si>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</si>
  <si>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</si>
  <si>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</si>
  <si>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</si>
  <si>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</si>
  <si>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</si>
  <si>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</si>
  <si>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</si>
  <si>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</si>
  <si>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</si>
  <si>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</si>
  <si>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</si>
  <si>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</si>
  <si>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</si>
  <si>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</si>
  <si>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</si>
  <si>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</si>
  <si>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</si>
  <si>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</si>
  <si>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</si>
  <si>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</si>
  <si>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</si>
  <si>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</si>
  <si>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</si>
  <si>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</si>
  <si>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</si>
  <si>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</si>
  <si>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</si>
  <si>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</si>
  <si>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</si>
  <si>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</si>
  <si>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</si>
  <si>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</si>
  <si>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</si>
  <si>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</si>
  <si>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</si>
  <si>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</si>
  <si>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</si>
  <si>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</si>
  <si>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</si>
  <si>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</si>
  <si>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</si>
  <si>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</si>
  <si>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</si>
  <si>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</si>
  <si>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</si>
  <si>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</si>
  <si>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</si>
  <si>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</si>
  <si>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</si>
  <si>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</si>
  <si>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</si>
  <si>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</si>
  <si>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</si>
  <si>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</si>
  <si>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</si>
  <si>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</si>
  <si>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</si>
  <si>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</si>
  <si>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</si>
  <si>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</si>
  <si>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</si>
  <si>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</si>
  <si>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</si>
  <si>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</si>
  <si>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</si>
  <si>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</si>
  <si>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</si>
  <si>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</si>
  <si>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</si>
  <si>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</si>
  <si>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</si>
  <si>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</si>
  <si>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</si>
  <si>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</si>
  <si>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</si>
  <si>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</si>
  <si>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</si>
  <si>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</si>
  <si>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</si>
  <si>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</si>
  <si>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</si>
  <si>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</si>
  <si>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</si>
  <si>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</si>
  <si>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</si>
  <si>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</si>
  <si>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</si>
  <si>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</si>
  <si>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</si>
  <si>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</si>
  <si>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</si>
  <si>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</si>
  <si>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</si>
  <si>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</si>
  <si>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</si>
  <si>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</si>
  <si>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</si>
  <si>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</si>
  <si>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</si>
  <si>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</si>
  <si>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</si>
  <si>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</si>
  <si>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</si>
  <si>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</si>
  <si>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</si>
  <si>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</si>
  <si>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</si>
  <si>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</si>
  <si>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</si>
  <si>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</si>
  <si>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</si>
  <si>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</si>
  <si>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</si>
  <si>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</si>
  <si>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</si>
  <si>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</si>
  <si>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</si>
  <si>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</si>
  <si>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</si>
  <si>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</si>
  <si>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</si>
  <si>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</si>
  <si>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</si>
  <si>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</si>
  <si>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</si>
  <si>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</si>
  <si>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</si>
  <si>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</si>
  <si>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</si>
  <si>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</si>
  <si>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</si>
  <si>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</si>
  <si>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</si>
  <si>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</si>
  <si>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</si>
  <si>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</si>
  <si>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</si>
  <si>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</si>
  <si>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</si>
  <si>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</si>
  <si>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</si>
  <si>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</si>
  <si>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</si>
  <si>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</si>
  <si>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</si>
  <si>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</si>
  <si>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</si>
  <si>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</si>
  <si>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</si>
  <si>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</si>
  <si>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</si>
  <si>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</si>
  <si>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</si>
  <si>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</si>
  <si>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</si>
  <si>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</si>
  <si>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</si>
  <si>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</si>
  <si>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</si>
  <si>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</si>
  <si>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</si>
  <si>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</si>
  <si>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</si>
  <si>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</si>
  <si>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</si>
  <si>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</si>
  <si>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</si>
  <si>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</si>
  <si>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</si>
  <si>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</si>
  <si>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</si>
  <si>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</si>
  <si>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</si>
  <si>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</si>
  <si>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</si>
  <si>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</si>
  <si>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</si>
  <si>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</si>
  <si>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</si>
  <si>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</si>
  <si>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</si>
  <si>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</si>
  <si>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</si>
  <si>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</si>
  <si>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</si>
  <si>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</si>
  <si>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</si>
  <si>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</si>
  <si>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</si>
  <si>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</si>
  <si>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</si>
  <si>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</si>
  <si>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</si>
  <si>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</si>
  <si>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</si>
  <si>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</si>
  <si>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</si>
  <si>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</si>
  <si>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</si>
  <si>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</si>
  <si>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</si>
  <si>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</si>
  <si>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</si>
  <si>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</si>
  <si>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</si>
  <si>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</si>
  <si>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</si>
  <si>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</si>
  <si>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</si>
  <si>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</si>
  <si>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</si>
  <si>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</si>
  <si>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</si>
  <si>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</si>
  <si>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</si>
  <si>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</si>
  <si>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</si>
  <si>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</si>
  <si>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</si>
  <si>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</si>
  <si>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</si>
  <si>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</si>
  <si>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</si>
  <si>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</si>
  <si>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</si>
  <si>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</si>
  <si>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</si>
  <si>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</si>
  <si>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</si>
  <si>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</si>
  <si>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</si>
  <si>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</si>
  <si>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</si>
  <si>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</si>
  <si>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</si>
  <si>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</si>
  <si>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</si>
  <si>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</si>
  <si>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</si>
  <si>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</si>
  <si>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</si>
  <si>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</si>
  <si>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</si>
  <si>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</si>
  <si>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</si>
  <si>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</si>
  <si>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</si>
  <si>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</si>
  <si>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</si>
  <si>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</si>
  <si>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</si>
  <si>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</si>
  <si>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</si>
  <si>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</si>
  <si>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</si>
  <si>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</si>
  <si>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</si>
  <si>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</si>
  <si>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</si>
  <si>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</si>
  <si>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</si>
  <si>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</si>
  <si>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</si>
  <si>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</si>
  <si>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</si>
  <si>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</si>
  <si>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</si>
  <si>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</si>
  <si>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</si>
  <si>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</si>
  <si>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</si>
  <si>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</si>
  <si>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</si>
  <si>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</si>
  <si>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</si>
  <si>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</si>
  <si>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</si>
  <si>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</si>
  <si>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</si>
  <si>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</si>
  <si>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</si>
  <si>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</si>
  <si>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</si>
  <si>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</si>
  <si>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</si>
  <si>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</si>
  <si>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</si>
  <si>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</si>
  <si>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</si>
  <si>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</si>
  <si>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</si>
  <si>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</si>
  <si>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</si>
  <si>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</si>
  <si>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</si>
  <si>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</si>
  <si>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</si>
  <si>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</si>
  <si>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</si>
  <si>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</si>
  <si>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</si>
  <si>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</si>
  <si>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</si>
  <si>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</si>
  <si>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</si>
  <si>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</si>
  <si>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</si>
  <si>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</si>
  <si>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</si>
  <si>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</si>
  <si>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</si>
  <si>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</si>
  <si>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</si>
  <si>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</si>
  <si>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</si>
  <si>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</si>
  <si>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</si>
  <si>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</si>
  <si>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</si>
  <si>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</si>
  <si>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</si>
  <si>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</si>
  <si>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</si>
  <si>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</si>
  <si>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</si>
  <si>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</si>
  <si>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</si>
  <si>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</si>
  <si>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</si>
  <si>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</si>
  <si>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</si>
  <si>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</si>
  <si>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</si>
  <si>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</si>
  <si>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</si>
  <si>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</si>
  <si>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</si>
  <si>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</si>
  <si>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</si>
  <si>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</si>
  <si>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</si>
  <si>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</si>
  <si>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</si>
  <si>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</si>
  <si>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</si>
  <si>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</si>
  <si>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</si>
  <si>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</si>
  <si>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</si>
  <si>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</si>
  <si>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</si>
  <si>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</si>
  <si>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</si>
  <si>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</si>
  <si>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</si>
  <si>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</si>
  <si>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</si>
  <si>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</si>
  <si>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</si>
  <si>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</si>
  <si>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</si>
  <si>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</si>
  <si>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</si>
  <si>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</si>
  <si>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</si>
  <si>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</si>
  <si>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</si>
  <si>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</si>
  <si>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</si>
  <si>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</si>
  <si>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</si>
  <si>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</si>
  <si>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</si>
  <si>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</si>
  <si>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</si>
  <si>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</si>
  <si>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</si>
  <si>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</si>
  <si>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</si>
  <si>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</si>
  <si>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</si>
  <si>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</si>
  <si>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</si>
  <si>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</si>
  <si>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</si>
  <si>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</si>
  <si>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</si>
  <si>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</si>
  <si>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</si>
  <si>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</si>
  <si>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</si>
  <si>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</si>
  <si>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</si>
  <si>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</si>
  <si>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</si>
  <si>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</si>
  <si>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</si>
  <si>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</si>
  <si>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</si>
  <si>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</si>
  <si>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</si>
  <si>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</si>
  <si>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</si>
  <si>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</si>
  <si>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</si>
  <si>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</si>
  <si>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</si>
  <si>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</si>
  <si>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</si>
  <si>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</si>
  <si>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</si>
  <si>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</si>
  <si>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</si>
  <si>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</si>
  <si>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</si>
  <si>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</si>
  <si>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</si>
  <si>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</si>
  <si>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</si>
  <si>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</si>
  <si>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</si>
  <si>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</si>
  <si>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</si>
  <si>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</si>
  <si>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</si>
  <si>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</si>
  <si>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</si>
  <si>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</si>
  <si>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</si>
  <si>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</si>
  <si>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</si>
  <si>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</si>
  <si>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</si>
  <si>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</si>
  <si>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</si>
  <si>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</si>
  <si>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</si>
  <si>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</si>
  <si>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</si>
  <si>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</si>
  <si>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</si>
  <si>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</si>
  <si>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</si>
  <si>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</si>
  <si>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</si>
  <si>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</si>
  <si>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</si>
  <si>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</si>
  <si>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</si>
  <si>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</si>
  <si>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</si>
  <si>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</si>
  <si>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</si>
  <si>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</si>
  <si>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</si>
  <si>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</si>
  <si>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</si>
  <si>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</si>
  <si>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</si>
  <si>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</si>
  <si>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</si>
  <si>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</si>
  <si>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</si>
  <si>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</si>
  <si>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</si>
  <si>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</si>
  <si>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</si>
  <si>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</si>
  <si>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</si>
  <si>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</si>
  <si>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</si>
  <si>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</si>
  <si>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</si>
  <si>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</si>
  <si>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</si>
  <si>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</si>
  <si>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</si>
  <si>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</si>
  <si>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</si>
  <si>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</si>
  <si>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</si>
  <si>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</si>
  <si>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</si>
  <si>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</si>
  <si>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</si>
  <si>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</si>
  <si>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</si>
  <si>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</si>
  <si>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</si>
  <si>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</si>
  <si>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</si>
  <si>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</si>
  <si>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</si>
  <si>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</si>
  <si>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</si>
  <si>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</si>
  <si>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</si>
  <si>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</si>
  <si>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</si>
  <si>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</si>
  <si>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</si>
  <si>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</si>
  <si>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</si>
  <si>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</si>
  <si>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</si>
  <si>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</si>
  <si>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</si>
  <si>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</si>
  <si>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</si>
  <si>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</si>
  <si>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</si>
  <si>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</si>
  <si>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</si>
  <si>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</si>
  <si>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</si>
  <si>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</si>
  <si>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</si>
  <si>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</si>
  <si>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</si>
  <si>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</si>
  <si>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</si>
  <si>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</si>
  <si>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</si>
  <si>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</si>
  <si>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</si>
  <si>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</si>
  <si>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</si>
  <si>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</si>
  <si>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</si>
  <si>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</si>
  <si>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</si>
  <si>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</si>
  <si>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</si>
  <si>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</si>
  <si>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</si>
  <si>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</si>
  <si>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</si>
  <si>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</si>
  <si>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</si>
  <si>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</si>
  <si>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</si>
  <si>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</si>
  <si>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</si>
  <si>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</si>
  <si>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</si>
  <si>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</si>
  <si>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</si>
  <si>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</si>
  <si>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</si>
  <si>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</si>
  <si>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</si>
  <si>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</si>
  <si>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</si>
  <si>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</si>
  <si>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</si>
  <si>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</si>
  <si>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</si>
  <si>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</si>
  <si>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</si>
  <si>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</si>
  <si>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</si>
  <si>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</si>
  <si>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</si>
  <si>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</si>
  <si>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</si>
  <si>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</si>
  <si>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</si>
  <si>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</si>
  <si>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</si>
  <si>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</si>
  <si>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</si>
  <si>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</si>
  <si>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</si>
  <si>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</si>
  <si>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</si>
  <si>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</si>
  <si>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</si>
  <si>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</si>
  <si>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</si>
  <si>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</si>
  <si>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</si>
  <si>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</si>
  <si>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</si>
  <si>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</si>
  <si>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</si>
  <si>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</si>
  <si>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</si>
  <si>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</si>
  <si>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</si>
  <si>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</si>
  <si>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</si>
  <si>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</si>
  <si>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</si>
  <si>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</si>
  <si>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</si>
  <si>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</si>
  <si>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</si>
  <si>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</si>
  <si>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</si>
  <si>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</si>
  <si>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</si>
  <si>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</si>
  <si>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</si>
  <si>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</si>
  <si>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</si>
  <si>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</si>
  <si>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</si>
  <si>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</si>
  <si>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</si>
  <si>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</si>
  <si>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</si>
  <si>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</si>
  <si>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</si>
  <si>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</si>
  <si>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</si>
  <si>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</si>
  <si>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</si>
  <si>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</si>
  <si>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</si>
  <si>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</si>
  <si>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</si>
  <si>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</si>
  <si>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</si>
  <si>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</si>
  <si>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</si>
  <si>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</si>
  <si>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</si>
  <si>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</si>
  <si>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</si>
  <si>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</si>
  <si>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</si>
  <si>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</si>
  <si>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</si>
  <si>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</si>
  <si>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</si>
  <si>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</si>
  <si>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</si>
  <si>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</si>
  <si>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</si>
  <si>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</si>
  <si>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</si>
  <si>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</si>
  <si>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</si>
  <si>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</si>
  <si>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</si>
  <si>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</si>
  <si>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</si>
  <si>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</si>
  <si>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</si>
  <si>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</si>
  <si>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</si>
  <si>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</si>
  <si>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</si>
  <si>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</si>
  <si>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</si>
  <si>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</si>
  <si>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</si>
  <si>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</si>
  <si>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</si>
  <si>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</si>
  <si>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</si>
  <si>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</si>
  <si>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</si>
  <si>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</si>
  <si>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</si>
  <si>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</si>
  <si>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</si>
  <si>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</si>
  <si>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</si>
  <si>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</si>
  <si>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</si>
  <si>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</si>
  <si>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</si>
  <si>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</si>
  <si>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</si>
  <si>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</si>
  <si>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</si>
  <si>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</si>
  <si>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</si>
  <si>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</si>
  <si>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</si>
  <si>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</si>
  <si>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</si>
  <si>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</si>
  <si>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</si>
  <si>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</si>
  <si>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</si>
  <si>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</si>
  <si>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</si>
  <si>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</si>
  <si>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</si>
  <si>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</si>
  <si>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</si>
  <si>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</si>
  <si>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</si>
  <si>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</si>
  <si>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</si>
  <si>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</si>
  <si>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</si>
  <si>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</si>
  <si>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</si>
  <si>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</si>
  <si>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</si>
  <si>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</si>
  <si>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</si>
  <si>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</si>
  <si>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</si>
  <si>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</si>
  <si>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</si>
  <si>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</si>
  <si>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</si>
  <si>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</si>
  <si>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</si>
  <si>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</si>
  <si>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</si>
  <si>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</si>
  <si>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</si>
  <si>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</si>
  <si>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</si>
  <si>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</si>
  <si>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</si>
  <si>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</si>
  <si>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</si>
  <si>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</si>
  <si>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</si>
  <si>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</si>
  <si>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</si>
  <si>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</si>
  <si>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</si>
  <si>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</si>
  <si>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</si>
  <si>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</si>
  <si>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</si>
  <si>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</si>
  <si>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</si>
  <si>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</si>
  <si>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</si>
  <si>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</si>
  <si>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</si>
  <si>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</si>
  <si>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</si>
  <si>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</si>
  <si>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</si>
  <si>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</si>
  <si>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</si>
  <si>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</si>
  <si>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</si>
  <si>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</si>
  <si>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</si>
  <si>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</si>
  <si>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</si>
  <si>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</si>
  <si>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</si>
  <si>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</si>
  <si>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</si>
  <si>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</si>
  <si>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</si>
  <si>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</si>
  <si>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</si>
  <si>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</si>
  <si>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</si>
  <si>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</si>
  <si>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</si>
  <si>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</si>
  <si>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</si>
  <si>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</si>
  <si>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</si>
  <si>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</si>
  <si>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</si>
  <si>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</si>
  <si>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</si>
  <si>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</si>
  <si>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</si>
  <si>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</si>
  <si>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</si>
  <si>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</si>
  <si>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</si>
  <si>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</si>
  <si>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</si>
  <si>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</si>
  <si>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</si>
  <si>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</si>
  <si>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</si>
  <si>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</si>
  <si>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</si>
  <si>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</si>
  <si>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</si>
  <si>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</si>
  <si>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</si>
  <si>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</si>
  <si>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</si>
  <si>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</si>
  <si>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</si>
  <si>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</si>
  <si>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</si>
  <si>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</si>
  <si>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</si>
  <si>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</si>
  <si>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</si>
  <si>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</si>
  <si>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</si>
  <si>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</si>
  <si>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</si>
  <si>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</si>
  <si>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</si>
  <si>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</si>
  <si>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</si>
  <si>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</si>
  <si>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</si>
  <si>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</si>
  <si>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</si>
  <si>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</si>
  <si>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</si>
  <si>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</si>
  <si>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</si>
  <si>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</si>
  <si>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</si>
  <si>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</si>
  <si>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</si>
  <si>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</si>
  <si>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</si>
  <si>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</si>
  <si>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</si>
  <si>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</si>
  <si>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</si>
  <si>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</si>
  <si>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</si>
  <si>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</si>
  <si>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</si>
  <si>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</si>
  <si>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</si>
  <si>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</si>
  <si>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</si>
  <si>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</si>
  <si>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</si>
  <si>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</si>
  <si>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</si>
  <si>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</si>
  <si>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</si>
  <si>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</si>
  <si>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</si>
  <si>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</si>
  <si>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</si>
  <si>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</si>
  <si>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</si>
  <si>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</si>
  <si>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</si>
  <si>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</si>
  <si>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</si>
  <si>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</si>
  <si>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</si>
  <si>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</si>
  <si>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</si>
  <si>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</si>
  <si>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</si>
  <si>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</si>
  <si>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</si>
  <si>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</si>
  <si>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</si>
  <si>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</si>
  <si>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</si>
  <si>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</si>
  <si>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</si>
  <si>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</si>
  <si>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</si>
  <si>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</si>
  <si>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</si>
  <si>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</si>
  <si>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</si>
  <si>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</si>
  <si>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</si>
  <si>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</si>
  <si>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</si>
  <si>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</si>
  <si>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</si>
  <si>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</si>
  <si>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</si>
  <si>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</si>
  <si>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</si>
  <si>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</si>
  <si>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</si>
  <si>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</si>
  <si>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</si>
  <si>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</si>
  <si>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</si>
  <si>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</si>
  <si>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</si>
  <si>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</si>
  <si>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</si>
  <si>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</si>
  <si>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</si>
  <si>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</si>
  <si>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</si>
  <si>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</si>
  <si>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</si>
  <si>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</si>
  <si>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</si>
  <si>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</si>
  <si>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</si>
  <si>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</si>
  <si>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</si>
  <si>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</si>
  <si>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</si>
  <si>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</si>
  <si>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</si>
  <si>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</si>
  <si>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</si>
  <si>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</si>
  <si>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</si>
  <si>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</si>
  <si>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</si>
  <si>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</si>
  <si>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</si>
  <si>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</si>
  <si>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</si>
  <si>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</si>
  <si>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</si>
  <si>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</si>
  <si>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</si>
  <si>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</si>
  <si>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</si>
  <si>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</si>
  <si>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</si>
  <si>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</si>
  <si>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</si>
  <si>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</si>
  <si>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</si>
  <si>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</si>
  <si>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</si>
  <si>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</si>
  <si>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</si>
  <si>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</si>
  <si>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</si>
  <si>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</si>
  <si>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</si>
  <si>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</si>
  <si>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</si>
  <si>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</si>
  <si>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</si>
  <si>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</si>
  <si>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</si>
  <si>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</si>
  <si>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</si>
  <si>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</si>
  <si>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</si>
  <si>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</si>
  <si>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</si>
  <si>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</si>
  <si>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</si>
  <si>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</si>
  <si>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</si>
  <si>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</si>
  <si>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</si>
  <si>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</si>
  <si>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</si>
  <si>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</si>
  <si>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</si>
  <si>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</si>
  <si>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</si>
  <si>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</si>
  <si>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</si>
  <si>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</si>
  <si>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</si>
  <si>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</si>
  <si>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</si>
  <si>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</si>
  <si>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</si>
  <si>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</si>
  <si>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</si>
  <si>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</si>
  <si>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</si>
  <si>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</si>
  <si>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</si>
  <si>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</si>
  <si>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</si>
  <si>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</si>
  <si>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</si>
  <si>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</si>
  <si>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</si>
  <si>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</si>
  <si>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</si>
  <si>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</si>
  <si>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</si>
  <si>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</si>
  <si>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</si>
  <si>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</si>
  <si>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</si>
  <si>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</si>
  <si>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</si>
  <si>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</si>
  <si>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</si>
  <si>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</si>
  <si>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</si>
  <si>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</si>
  <si>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</si>
  <si>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</si>
  <si>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</si>
  <si>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</si>
  <si>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</si>
  <si>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</si>
  <si>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</si>
  <si>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</si>
  <si>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</si>
  <si>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</si>
  <si>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</si>
  <si>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</si>
  <si>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</si>
  <si>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</si>
  <si>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</si>
  <si>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</si>
  <si>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</si>
  <si>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</si>
  <si>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</si>
  <si>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</si>
  <si>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</si>
  <si>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</si>
  <si>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</si>
  <si>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</si>
  <si>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</si>
  <si>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</si>
  <si>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</si>
  <si>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</si>
  <si>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</si>
  <si>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</si>
  <si>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</si>
  <si>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</si>
  <si>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</si>
  <si>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</si>
  <si>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</si>
  <si>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</si>
  <si>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</si>
  <si>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</si>
  <si>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</si>
  <si>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</si>
  <si>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</si>
  <si>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</si>
  <si>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</si>
  <si>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</si>
  <si>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</si>
  <si>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</si>
  <si>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</si>
  <si>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</si>
  <si>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</si>
  <si>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</si>
  <si>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</si>
  <si>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</si>
  <si>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</si>
  <si>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</si>
  <si>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</si>
  <si>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</si>
  <si>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</si>
  <si>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</si>
  <si>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</si>
  <si>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</si>
  <si>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</si>
  <si>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</si>
  <si>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</si>
  <si>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</si>
  <si>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</si>
  <si>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</si>
  <si>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</si>
  <si>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</si>
  <si>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</si>
  <si>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</si>
  <si>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</si>
  <si>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</si>
  <si>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</si>
  <si>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</si>
  <si>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</si>
  <si>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</si>
  <si>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</si>
  <si>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</si>
  <si>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</si>
  <si>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</si>
  <si>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</si>
  <si>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</si>
  <si>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</si>
  <si>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</si>
  <si>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</si>
  <si>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</si>
  <si>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</si>
  <si>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</si>
  <si>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</si>
  <si>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</si>
  <si>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</si>
  <si>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</si>
  <si>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</si>
  <si>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</si>
  <si>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</si>
  <si>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</si>
  <si>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</si>
  <si>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</si>
  <si>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</si>
  <si>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</si>
  <si>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</si>
  <si>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</si>
  <si>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</si>
  <si>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</si>
  <si>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</si>
  <si>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</si>
  <si>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</si>
  <si>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</si>
  <si>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</si>
  <si>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</si>
  <si>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</si>
  <si>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</si>
  <si>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</si>
  <si>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</si>
  <si>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</si>
  <si>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</si>
  <si>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</si>
  <si>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</si>
  <si>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</si>
  <si>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</si>
  <si>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</si>
  <si>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</si>
  <si>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</si>
  <si>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</si>
  <si>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</si>
  <si>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</si>
  <si>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</si>
  <si>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</si>
  <si>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</si>
  <si>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</si>
  <si>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</si>
  <si>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</si>
  <si>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</si>
  <si>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</si>
  <si>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</si>
  <si>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</si>
  <si>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</si>
  <si>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</si>
  <si>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</si>
  <si>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</si>
  <si>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</si>
  <si>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</si>
  <si>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</si>
  <si>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</si>
  <si>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</si>
  <si>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</si>
  <si>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</si>
  <si>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</si>
  <si>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</si>
  <si>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</si>
  <si>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</si>
  <si>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</si>
  <si>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</si>
  <si>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</si>
  <si>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</si>
  <si>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</si>
  <si>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</si>
  <si>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</si>
  <si>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</si>
  <si>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</si>
  <si>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</si>
  <si>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</si>
  <si>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</si>
  <si>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</si>
  <si>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</si>
  <si>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</si>
  <si>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</si>
  <si>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</si>
  <si>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</si>
  <si>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</si>
  <si>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</si>
  <si>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</si>
  <si>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</si>
  <si>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</si>
  <si>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</si>
  <si>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</si>
  <si>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</si>
  <si>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</si>
  <si>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</si>
  <si>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</si>
  <si>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</si>
  <si>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</si>
  <si>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</si>
  <si>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</si>
  <si>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</si>
  <si>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</si>
  <si>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</si>
  <si>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</si>
  <si>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</si>
  <si>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</si>
  <si>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</si>
  <si>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</si>
  <si>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</si>
  <si>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</si>
  <si>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</si>
  <si>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</si>
  <si>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</si>
  <si>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</si>
  <si>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</si>
  <si>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</si>
  <si>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</si>
  <si>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</si>
  <si>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</si>
  <si>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</si>
  <si>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</si>
  <si>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</si>
  <si>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</si>
  <si>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</si>
  <si>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</si>
  <si>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</si>
  <si>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</si>
  <si>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</si>
  <si>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</si>
  <si>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</si>
  <si>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</si>
  <si>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</si>
  <si>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</si>
  <si>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</si>
  <si>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</si>
  <si>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</si>
  <si>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</si>
  <si>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</si>
  <si>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</si>
  <si>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</si>
  <si>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</si>
  <si>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</si>
  <si>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</si>
  <si>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</si>
  <si>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</si>
  <si>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</si>
  <si>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</si>
  <si>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</si>
  <si>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</si>
  <si>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</si>
  <si>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</si>
  <si>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</si>
  <si>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</si>
  <si>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</si>
  <si>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</si>
  <si>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</si>
  <si>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</si>
  <si>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</si>
  <si>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</si>
  <si>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</si>
  <si>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</si>
  <si>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</si>
  <si>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</si>
  <si>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</si>
  <si>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</si>
  <si>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</si>
  <si>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</si>
  <si>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</si>
  <si>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</si>
  <si>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</si>
  <si>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</si>
  <si>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</si>
  <si>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</si>
  <si>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</si>
  <si>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</si>
  <si>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</si>
  <si>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</si>
  <si>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</si>
  <si>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</si>
  <si>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</si>
  <si>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</si>
  <si>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</si>
  <si>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</si>
  <si>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</si>
  <si>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</si>
  <si>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</si>
  <si>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</si>
  <si>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</si>
  <si>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</si>
  <si>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</si>
  <si>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</si>
  <si>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</si>
  <si>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</si>
  <si>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</si>
  <si>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</si>
  <si>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</si>
  <si>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</si>
  <si>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</si>
  <si>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</si>
  <si>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</si>
  <si>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</si>
  <si>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</si>
  <si>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</si>
  <si>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</si>
  <si>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</si>
  <si>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</si>
  <si>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</si>
  <si>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</si>
  <si>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</si>
  <si>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</si>
  <si>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</si>
  <si>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</si>
  <si>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</si>
  <si>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</si>
  <si>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</si>
  <si>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</si>
  <si>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</si>
  <si>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</si>
  <si>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</si>
  <si>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</si>
  <si>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</si>
  <si>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</si>
  <si>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</si>
  <si>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</si>
  <si>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</si>
  <si>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</si>
  <si>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</si>
  <si>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</si>
  <si>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</si>
  <si>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</si>
  <si>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</si>
  <si>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</si>
  <si>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</si>
  <si>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</si>
  <si>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</si>
  <si>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</si>
  <si>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</si>
  <si>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</si>
  <si>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</si>
  <si>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</si>
  <si>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</si>
  <si>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</si>
  <si>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</si>
  <si>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</si>
  <si>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</si>
  <si>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</si>
  <si>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</si>
  <si>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</si>
  <si>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</si>
  <si>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</si>
  <si>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</si>
  <si>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</si>
  <si>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</si>
  <si>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</si>
  <si>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</si>
  <si>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</si>
  <si>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</si>
  <si>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</si>
  <si>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</si>
  <si>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</si>
  <si>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</si>
  <si>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</si>
  <si>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</si>
  <si>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</si>
  <si>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</si>
  <si>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</si>
  <si>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</si>
  <si>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</si>
  <si>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</si>
  <si>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</si>
  <si>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</si>
  <si>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</si>
  <si>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</si>
  <si>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</si>
  <si>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</si>
  <si>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</si>
  <si>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</si>
  <si>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</si>
  <si>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</si>
  <si>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</si>
  <si>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</si>
  <si>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</si>
  <si>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</si>
  <si>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</si>
  <si>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</si>
  <si>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</si>
  <si>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</si>
  <si>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</si>
  <si>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</si>
  <si>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</si>
  <si>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</si>
  <si>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</si>
  <si>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</si>
  <si>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</si>
  <si>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</si>
  <si>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</si>
  <si>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</si>
  <si>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</si>
  <si>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</si>
  <si>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</si>
  <si>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</si>
  <si>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</si>
  <si>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</si>
  <si>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</si>
  <si>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</si>
  <si>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</si>
  <si>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</si>
  <si>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</si>
  <si>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</si>
  <si>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</si>
  <si>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</si>
  <si>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</si>
  <si>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</si>
  <si>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</si>
  <si>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</si>
  <si>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</si>
  <si>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</si>
  <si>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</si>
  <si>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</si>
  <si>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</si>
  <si>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</si>
  <si>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</si>
  <si>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</si>
  <si>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</si>
  <si>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</si>
  <si>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</si>
  <si>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</si>
  <si>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</si>
  <si>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</si>
  <si>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</si>
  <si>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</si>
  <si>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</si>
  <si>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</si>
  <si>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</si>
  <si>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</si>
  <si>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</si>
  <si>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</si>
  <si>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</si>
  <si>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</si>
  <si>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</si>
  <si>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</si>
  <si>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</si>
  <si>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</si>
  <si>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</si>
  <si>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</si>
  <si>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</si>
  <si>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</si>
  <si>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</si>
  <si>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</si>
  <si>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</si>
  <si>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</si>
  <si>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</si>
  <si>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</si>
  <si>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</si>
  <si>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</si>
  <si>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</si>
  <si>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</si>
  <si>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</si>
  <si>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</si>
  <si>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</si>
  <si>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</si>
  <si>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</si>
  <si>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</si>
  <si>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</si>
  <si>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</si>
  <si>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</si>
  <si>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</si>
  <si>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</si>
  <si>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</si>
  <si>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</si>
  <si>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</si>
  <si>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</si>
  <si>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</si>
  <si>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</si>
  <si>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</si>
  <si>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</si>
  <si>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</si>
  <si>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</si>
  <si>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</si>
  <si>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</si>
  <si>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</si>
  <si>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</si>
  <si>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</si>
  <si>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</si>
  <si>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</si>
  <si>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</si>
  <si>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</si>
  <si>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</si>
  <si>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</si>
  <si>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</si>
  <si>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</si>
  <si>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</si>
  <si>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</si>
  <si>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</si>
  <si>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</si>
  <si>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</si>
  <si>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</si>
  <si>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</si>
  <si>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</si>
  <si>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</si>
  <si>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</si>
  <si>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</si>
  <si>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</si>
  <si>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</si>
  <si>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</si>
  <si>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</si>
  <si>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</si>
  <si>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</si>
  <si>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</si>
  <si>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</si>
  <si>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</si>
  <si>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</si>
  <si>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</si>
  <si>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</si>
  <si>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</si>
  <si>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</si>
  <si>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</si>
  <si>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</si>
  <si>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</si>
  <si>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</si>
  <si>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</si>
  <si>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</si>
  <si>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</si>
  <si>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</si>
  <si>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</si>
  <si>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</si>
  <si>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</si>
  <si>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</si>
  <si>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</si>
  <si>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</si>
  <si>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</si>
  <si>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</si>
  <si>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</si>
  <si>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</si>
  <si>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</si>
  <si>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</si>
  <si>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</si>
  <si>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</si>
  <si>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</si>
  <si>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</si>
  <si>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</si>
  <si>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</si>
  <si>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</si>
  <si>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</si>
  <si>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</si>
  <si>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</si>
  <si>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</si>
  <si>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</si>
  <si>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</si>
  <si>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</si>
  <si>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</si>
  <si>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</si>
  <si>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</si>
  <si>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</si>
  <si>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</si>
  <si>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</si>
  <si>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</si>
  <si>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</si>
  <si>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</si>
  <si>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</si>
  <si>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</si>
  <si>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</si>
  <si>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</si>
  <si>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</si>
  <si>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</si>
  <si>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</si>
  <si>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</si>
  <si>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</si>
  <si>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</si>
  <si>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</si>
  <si>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</si>
  <si>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</si>
  <si>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</si>
  <si>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</si>
  <si>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</si>
  <si>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</si>
  <si>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</si>
  <si>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</si>
  <si>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</si>
  <si>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</si>
  <si>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</si>
  <si>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</si>
  <si>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</si>
  <si>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</si>
  <si>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</si>
  <si>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</si>
  <si>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</si>
  <si>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</si>
  <si>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</si>
  <si>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</si>
  <si>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</si>
  <si>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</si>
  <si>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</si>
  <si>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</si>
  <si>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</si>
  <si>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</si>
  <si>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</si>
  <si>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</si>
  <si>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</si>
  <si>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</si>
  <si>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</si>
  <si>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</si>
  <si>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</si>
  <si>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</si>
  <si>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</si>
  <si>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</si>
  <si>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</si>
  <si>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</si>
  <si>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</si>
  <si>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</si>
  <si>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</si>
  <si>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</si>
  <si>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</si>
  <si>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</si>
  <si>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</si>
  <si>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</si>
  <si>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</si>
  <si>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</si>
  <si>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</si>
  <si>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</si>
  <si>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</si>
  <si>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</si>
  <si>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</si>
  <si>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</si>
  <si>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</si>
  <si>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</si>
  <si>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</si>
  <si>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</si>
  <si>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</si>
  <si>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</si>
  <si>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</si>
  <si>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</si>
  <si>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</si>
  <si>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</si>
  <si>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</si>
  <si>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</si>
  <si>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</si>
  <si>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</si>
  <si>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</si>
  <si>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</si>
  <si>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</si>
  <si>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</si>
  <si>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</si>
  <si>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</si>
  <si>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</si>
  <si>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</si>
  <si>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</si>
  <si>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</si>
  <si>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</si>
  <si>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</si>
  <si>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</si>
  <si>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</si>
  <si>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</si>
  <si>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</si>
  <si>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</si>
  <si>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</si>
  <si>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</si>
  <si>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</si>
  <si>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</si>
  <si>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</si>
  <si>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</si>
  <si>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</si>
  <si>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</si>
  <si>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</si>
  <si>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</si>
  <si>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</si>
  <si>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</si>
  <si>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</si>
  <si>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</si>
  <si>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</si>
  <si>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</si>
  <si>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</si>
  <si>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</si>
  <si>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</si>
  <si>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</si>
  <si>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</si>
  <si>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</si>
  <si>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</si>
  <si>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</si>
  <si>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</si>
  <si>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</si>
  <si>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</si>
  <si>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</si>
  <si>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</si>
  <si>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</si>
  <si>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</si>
  <si>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</si>
  <si>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</si>
  <si>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</si>
  <si>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</si>
  <si>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</si>
  <si>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</si>
  <si>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</si>
  <si>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</si>
  <si>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</si>
  <si>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</si>
  <si>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</si>
  <si>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</si>
  <si>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</si>
  <si>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</si>
  <si>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</si>
  <si>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</si>
  <si>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</si>
  <si>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</si>
  <si>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</si>
  <si>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</si>
  <si>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</si>
  <si>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</si>
  <si>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</si>
  <si>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</si>
  <si>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</si>
  <si>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</si>
  <si>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</si>
  <si>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</si>
  <si>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</si>
  <si>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</si>
  <si>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</si>
  <si>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</si>
  <si>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</si>
  <si>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</si>
  <si>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</si>
  <si>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</si>
  <si>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</si>
  <si>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</si>
  <si>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</si>
  <si>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</si>
  <si>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</si>
  <si>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</si>
  <si>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</si>
  <si>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</si>
  <si>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</si>
  <si>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</si>
  <si>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</si>
  <si>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</si>
  <si>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</si>
  <si>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</si>
  <si>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</si>
  <si>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</si>
  <si>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</si>
  <si>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</si>
  <si>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</si>
  <si>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</si>
  <si>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</si>
  <si>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</si>
  <si>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</si>
  <si>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</si>
  <si>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</si>
  <si>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</si>
  <si>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</si>
  <si>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</si>
  <si>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</si>
  <si>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</si>
  <si>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</si>
  <si>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</si>
  <si>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</si>
  <si>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</si>
  <si>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</si>
  <si>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</si>
  <si>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</si>
  <si>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</si>
  <si>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</si>
  <si>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</si>
  <si>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</si>
  <si>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</si>
  <si>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</si>
  <si>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</si>
  <si>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</si>
  <si>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</si>
  <si>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</si>
  <si>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</si>
  <si>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</si>
  <si>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</si>
  <si>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</si>
  <si>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</si>
  <si>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</si>
  <si>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</si>
  <si>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</si>
  <si>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</si>
  <si>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</si>
  <si>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</si>
  <si>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</si>
  <si>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</si>
  <si>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</si>
  <si>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</si>
  <si>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</si>
  <si>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</si>
  <si>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</si>
  <si>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</si>
  <si>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</si>
  <si>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</si>
  <si>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</si>
  <si>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</si>
  <si>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</si>
  <si>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</si>
  <si>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</si>
  <si>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</si>
  <si>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</si>
  <si>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</si>
  <si>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</si>
  <si>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</si>
  <si>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</si>
  <si>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</si>
  <si>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</si>
  <si>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</si>
  <si>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</si>
  <si>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</si>
  <si>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</si>
  <si>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</si>
  <si>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</si>
  <si>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</si>
  <si>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</si>
  <si>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</si>
  <si>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</si>
  <si>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</si>
  <si>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</si>
  <si>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</si>
  <si>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</si>
  <si>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</si>
  <si>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</si>
  <si>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</si>
  <si>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</si>
  <si>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</si>
  <si>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</si>
  <si>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</si>
  <si>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</si>
  <si>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</si>
  <si>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</si>
  <si>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</si>
  <si>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</si>
  <si>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</si>
  <si>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</si>
  <si>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</si>
  <si>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</si>
  <si>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</si>
  <si>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</si>
  <si>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</si>
  <si>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</si>
  <si>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</si>
  <si>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</si>
  <si>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</si>
  <si>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</si>
  <si>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</si>
  <si>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</si>
  <si>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</si>
  <si>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</si>
  <si>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</si>
  <si>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</si>
  <si>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</si>
  <si>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</si>
  <si>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</si>
  <si>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</si>
  <si>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</si>
  <si>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</si>
  <si>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</si>
  <si>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</si>
  <si>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</si>
  <si>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</si>
  <si>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</si>
  <si>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</si>
  <si>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</si>
  <si>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</si>
  <si>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</si>
  <si>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</si>
  <si>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</si>
  <si>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</si>
  <si>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</si>
  <si>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</si>
  <si>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</si>
  <si>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</si>
  <si>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</si>
  <si>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</si>
  <si>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</si>
  <si>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</si>
  <si>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</si>
  <si>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</si>
  <si>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</si>
  <si>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</si>
  <si>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</si>
  <si>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</si>
  <si>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</si>
  <si>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</si>
  <si>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</si>
  <si>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</si>
  <si>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</si>
  <si>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</si>
  <si>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</si>
  <si>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</si>
  <si>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</si>
  <si>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</si>
  <si>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</si>
  <si>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</si>
  <si>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</si>
  <si>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</si>
  <si>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</si>
  <si>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</si>
  <si>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</si>
  <si>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</si>
  <si>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</si>
  <si>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</si>
  <si>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</si>
  <si>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</si>
  <si>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</si>
  <si>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</si>
  <si>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</si>
  <si>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</si>
  <si>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</si>
  <si>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</si>
  <si>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</si>
  <si>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</si>
  <si>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</si>
  <si>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</si>
  <si>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</si>
  <si>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</si>
  <si>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</si>
  <si>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</si>
  <si>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</si>
  <si>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</si>
  <si>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</si>
  <si>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</si>
  <si>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</si>
  <si>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</si>
  <si>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</si>
  <si>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</si>
  <si>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</si>
  <si>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</si>
  <si>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</si>
  <si>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</si>
  <si>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</si>
  <si>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</si>
  <si>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</si>
  <si>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</si>
  <si>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</si>
  <si>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</si>
  <si>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</si>
  <si>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</si>
  <si>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</si>
  <si>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</si>
  <si>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</si>
  <si>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</si>
  <si>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</si>
  <si>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</si>
  <si>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</si>
  <si>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</si>
  <si>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</si>
  <si>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</si>
  <si>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</si>
  <si>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</si>
  <si>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</si>
  <si>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</si>
  <si>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</si>
  <si>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</si>
  <si>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</si>
  <si>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</si>
  <si>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</si>
  <si>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</si>
  <si>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</si>
  <si>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</si>
  <si>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</si>
  <si>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</si>
  <si>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</si>
  <si>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</si>
  <si>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</si>
  <si>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</si>
  <si>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</si>
  <si>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</si>
  <si>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</si>
  <si>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</si>
  <si>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</si>
  <si>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</si>
  <si>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</si>
  <si>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</si>
  <si>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</si>
  <si>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</si>
  <si>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</si>
  <si>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</si>
  <si>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</si>
  <si>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</si>
  <si>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</si>
  <si>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</si>
  <si>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</si>
  <si>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</si>
  <si>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</si>
  <si>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</si>
  <si>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</si>
  <si>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</si>
  <si>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</si>
  <si>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</si>
  <si>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</si>
  <si>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</si>
  <si>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</si>
  <si>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</si>
  <si>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</si>
  <si>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</si>
  <si>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</si>
  <si>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</si>
  <si>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</si>
  <si>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</si>
  <si>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</si>
  <si>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</si>
  <si>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</si>
  <si>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</si>
  <si>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</si>
  <si>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</si>
  <si>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</si>
  <si>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</si>
  <si>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</si>
  <si>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</si>
  <si>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</si>
  <si>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</si>
  <si>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</si>
  <si>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</si>
  <si>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</si>
  <si>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</si>
  <si>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</si>
  <si>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</si>
  <si>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</si>
  <si>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</si>
  <si>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</si>
  <si>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</si>
  <si>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</si>
  <si>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</si>
  <si>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</si>
  <si>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</si>
  <si>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</si>
  <si>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</si>
  <si>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</si>
  <si>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</si>
  <si>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</si>
  <si>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</si>
  <si>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</si>
  <si>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</si>
  <si>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</si>
  <si>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</si>
  <si>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</si>
  <si>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</si>
  <si>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</si>
  <si>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</si>
  <si>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</si>
  <si>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</si>
  <si>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</si>
  <si>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</si>
  <si>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</si>
  <si>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</si>
  <si>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</si>
  <si>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</si>
  <si>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</si>
  <si>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</si>
  <si>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</si>
  <si>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</si>
  <si>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</si>
  <si>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</si>
  <si>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</si>
  <si>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</si>
  <si>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</si>
  <si>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</si>
  <si>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</si>
  <si>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</si>
  <si>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</si>
  <si>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</si>
  <si>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</si>
  <si>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</si>
  <si>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</si>
  <si>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</si>
  <si>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</si>
  <si>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</si>
  <si>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</si>
  <si>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</si>
  <si>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</si>
  <si>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</si>
  <si>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</si>
  <si>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</si>
  <si>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</si>
  <si>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</si>
  <si>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</si>
  <si>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</si>
  <si>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</si>
  <si>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</si>
  <si>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</si>
  <si>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</si>
  <si>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</si>
  <si>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</si>
  <si>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</si>
  <si>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</si>
  <si>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</si>
  <si>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</si>
  <si>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</si>
  <si>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</si>
  <si>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</si>
  <si>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</si>
  <si>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</si>
  <si>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</si>
  <si>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</si>
  <si>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</si>
  <si>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</si>
  <si>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</si>
  <si>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</si>
  <si>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</si>
  <si>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</si>
  <si>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</si>
  <si>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</si>
  <si>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</si>
  <si>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</si>
  <si>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</si>
  <si>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</si>
  <si>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</si>
  <si>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</si>
  <si>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</si>
  <si>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</si>
  <si>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</si>
  <si>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</si>
  <si>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</si>
  <si>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</si>
  <si>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</si>
  <si>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</si>
  <si>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</si>
  <si>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</si>
  <si>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</si>
  <si>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</si>
  <si>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</si>
  <si>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</si>
  <si>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</si>
  <si>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</si>
  <si>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</si>
  <si>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</si>
  <si>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</si>
  <si>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</si>
  <si>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</si>
  <si>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</si>
  <si>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</si>
  <si>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</si>
  <si>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</si>
  <si>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</si>
  <si>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</si>
  <si>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</si>
  <si>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</si>
  <si>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</si>
  <si>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</si>
  <si>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</si>
  <si>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</si>
  <si>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</si>
  <si>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</si>
  <si>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</si>
  <si>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</si>
  <si>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</si>
  <si>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</si>
  <si>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</si>
  <si>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</si>
  <si>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</si>
  <si>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</si>
  <si>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</si>
  <si>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</si>
  <si>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</si>
  <si>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</si>
  <si>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</si>
  <si>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</si>
  <si>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</si>
  <si>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</si>
  <si>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</si>
  <si>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</si>
  <si>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</si>
  <si>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</si>
  <si>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</si>
  <si>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</si>
  <si>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</si>
  <si>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</si>
  <si>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</si>
  <si>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</si>
  <si>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</si>
  <si>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</si>
  <si>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</si>
  <si>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</si>
  <si>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</si>
  <si>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</si>
  <si>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</si>
  <si>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</si>
  <si>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</si>
  <si>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</si>
  <si>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</si>
  <si>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</si>
  <si>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</si>
  <si>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</si>
  <si>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</si>
  <si>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</si>
  <si>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</si>
  <si>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</si>
  <si>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</si>
  <si>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</si>
  <si>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</si>
  <si>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</si>
  <si>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</si>
  <si>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</si>
  <si>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</si>
  <si>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</si>
  <si>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</si>
  <si>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</si>
  <si>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</si>
  <si>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</si>
  <si>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</si>
  <si>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</si>
  <si>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</si>
  <si>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</si>
  <si>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</si>
  <si>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</si>
  <si>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</si>
  <si>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</si>
  <si>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</si>
  <si>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</si>
  <si>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</si>
  <si>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</si>
  <si>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</si>
  <si>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</si>
  <si>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</si>
  <si>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</si>
  <si>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</si>
  <si>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</si>
  <si>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</si>
  <si>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</si>
  <si>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</si>
  <si>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</si>
  <si>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</si>
  <si>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</si>
  <si>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</si>
  <si>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</si>
  <si>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</si>
  <si>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</si>
  <si>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</si>
  <si>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</si>
  <si>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</si>
  <si>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</si>
  <si>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</si>
  <si>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</si>
  <si>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</si>
  <si>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</si>
  <si>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</si>
  <si>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</si>
  <si>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</si>
  <si>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</si>
  <si>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</si>
  <si>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</si>
  <si>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</si>
  <si>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</si>
  <si>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</si>
  <si>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</si>
  <si>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</si>
  <si>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</si>
  <si>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</si>
  <si>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</si>
  <si>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</si>
  <si>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</si>
  <si>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</si>
  <si>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</si>
  <si>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</si>
  <si>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</si>
  <si>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</si>
  <si>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</si>
  <si>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</si>
  <si>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</si>
  <si>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</si>
  <si>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</si>
  <si>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</si>
  <si>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</si>
  <si>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</si>
  <si>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</si>
  <si>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</si>
  <si>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</si>
  <si>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</si>
  <si>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</si>
  <si>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</si>
  <si>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</si>
  <si>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</si>
  <si>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</si>
  <si>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</si>
  <si>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</si>
  <si>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</si>
  <si>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</si>
  <si>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</si>
  <si>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</si>
  <si>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</si>
  <si>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</si>
  <si>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</si>
  <si>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</si>
  <si>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</si>
  <si>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</si>
  <si>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</si>
  <si>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</si>
  <si>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</si>
  <si>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</si>
  <si>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</si>
  <si>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</si>
  <si>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</si>
  <si>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</si>
  <si>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</si>
  <si>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</si>
  <si>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</si>
  <si>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</si>
  <si>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</si>
  <si>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</si>
  <si>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</si>
  <si>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</si>
  <si>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</si>
  <si>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</si>
  <si>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</si>
  <si>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</si>
  <si>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</si>
  <si>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</si>
  <si>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</si>
  <si>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</si>
  <si>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</si>
  <si>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</si>
  <si>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</si>
  <si>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</si>
  <si>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</si>
  <si>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</si>
  <si>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</si>
  <si>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</si>
  <si>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</si>
  <si>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</si>
  <si>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</si>
  <si>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</si>
  <si>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</si>
  <si>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</si>
  <si>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</si>
  <si>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</si>
  <si>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</si>
  <si>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</si>
  <si>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</si>
  <si>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</si>
  <si>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</si>
  <si>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</si>
  <si>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</si>
  <si>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</si>
  <si>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</si>
  <si>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</si>
  <si>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</si>
  <si>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</si>
  <si>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</si>
  <si>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</si>
  <si>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</si>
  <si>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</si>
  <si>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</si>
  <si>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</si>
  <si>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</si>
  <si>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</si>
  <si>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</si>
  <si>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</si>
  <si>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</si>
  <si>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</si>
  <si>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</si>
  <si>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</si>
  <si>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</si>
  <si>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</si>
  <si>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</si>
  <si>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</si>
  <si>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</si>
  <si>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</si>
  <si>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</si>
  <si>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</si>
  <si>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</si>
  <si>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</si>
  <si>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</si>
  <si>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</si>
  <si>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</si>
  <si>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</si>
  <si>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</si>
  <si>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</si>
  <si>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</si>
  <si>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</si>
  <si>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</si>
  <si>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</si>
  <si>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</si>
  <si>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</si>
  <si>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</si>
  <si>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</si>
  <si>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</si>
  <si>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</si>
  <si>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</si>
  <si>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</si>
  <si>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</si>
  <si>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</si>
  <si>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</si>
  <si>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</si>
  <si>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</si>
  <si>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</si>
  <si>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</si>
  <si>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</si>
  <si>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</si>
  <si>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</si>
  <si>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</si>
  <si>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</si>
  <si>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</si>
  <si>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</si>
  <si>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</si>
  <si>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</si>
  <si>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</si>
  <si>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</si>
  <si>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</si>
  <si>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</si>
  <si>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</si>
  <si>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</si>
  <si>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</si>
  <si>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</si>
  <si>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</si>
  <si>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</si>
  <si>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</si>
  <si>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</si>
  <si>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</si>
  <si>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</si>
  <si>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</si>
  <si>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</si>
  <si>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</si>
  <si>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</si>
  <si>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</si>
  <si>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</si>
  <si>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</si>
  <si>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</si>
  <si>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</si>
  <si>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</si>
  <si>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</si>
  <si>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</si>
  <si>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</si>
  <si>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</si>
  <si>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</si>
  <si>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</si>
  <si>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</si>
  <si>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</si>
  <si>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</si>
  <si>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</si>
  <si>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</si>
  <si>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</si>
  <si>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</si>
  <si>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</si>
  <si>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</si>
  <si>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</si>
  <si>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</si>
  <si>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</si>
  <si>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</si>
  <si>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</si>
  <si>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</si>
  <si>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</si>
  <si>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</si>
  <si>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</si>
  <si>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</si>
  <si>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</si>
  <si>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</si>
  <si>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</si>
  <si>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</si>
  <si>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</si>
  <si>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</si>
  <si>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</si>
  <si>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</si>
  <si>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</si>
  <si>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</si>
  <si>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</si>
  <si>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</si>
  <si>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</si>
  <si>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</si>
  <si>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</si>
  <si>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</si>
  <si>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</si>
  <si>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</si>
  <si>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</si>
  <si>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</si>
  <si>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</si>
  <si>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</si>
  <si>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</si>
  <si>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</si>
  <si>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</si>
  <si>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</si>
  <si>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</si>
  <si>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</si>
  <si>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</si>
  <si>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</si>
  <si>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</si>
  <si>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</si>
  <si>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</si>
  <si>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</si>
  <si>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</si>
  <si>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</si>
  <si>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</si>
  <si>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</si>
  <si>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</si>
  <si>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</si>
  <si>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</si>
  <si>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</si>
  <si>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</si>
  <si>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</si>
  <si>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</si>
  <si>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</si>
  <si>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</si>
  <si>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</si>
  <si>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</si>
  <si>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</si>
  <si>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</si>
  <si>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</si>
  <si>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</si>
  <si>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</si>
  <si>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</si>
  <si>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</si>
  <si>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</si>
  <si>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</si>
  <si>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</si>
  <si>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</si>
  <si>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</si>
  <si>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</si>
  <si>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</si>
  <si>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</si>
  <si>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</si>
  <si>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</si>
  <si>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</si>
  <si>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</si>
  <si>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</si>
  <si>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</si>
  <si>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</si>
  <si>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</si>
  <si>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</si>
  <si>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</si>
  <si>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</si>
  <si>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</si>
  <si>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</si>
  <si>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</si>
  <si>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</si>
  <si>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</si>
  <si>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</si>
  <si>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</si>
  <si>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</si>
  <si>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</si>
  <si>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</si>
  <si>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</si>
  <si>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</si>
  <si>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</si>
  <si>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</si>
  <si>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</si>
  <si>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</si>
  <si>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</si>
  <si>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</si>
  <si>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</si>
  <si>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</si>
  <si>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</si>
  <si>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</si>
  <si>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</si>
  <si>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</si>
  <si>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</si>
  <si>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</si>
  <si>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</si>
  <si>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</si>
  <si>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</si>
  <si>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</si>
  <si>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</si>
  <si>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</si>
  <si>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</si>
  <si>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</si>
  <si>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</si>
  <si>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</si>
  <si>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</si>
  <si>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</si>
  <si>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</si>
  <si>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</si>
  <si>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</si>
  <si>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</si>
  <si>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</si>
  <si>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</si>
  <si>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</si>
  <si>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</si>
  <si>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</si>
  <si>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</si>
  <si>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</si>
  <si>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</si>
  <si>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</si>
  <si>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</si>
  <si>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</si>
  <si>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</si>
  <si>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</si>
  <si>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</si>
  <si>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</si>
  <si>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</si>
  <si>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</si>
  <si>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</si>
  <si>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</si>
  <si>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</si>
  <si>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</si>
  <si>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</si>
  <si>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</si>
  <si>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</si>
  <si>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</si>
  <si>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</si>
  <si>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</si>
  <si>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</si>
  <si>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</si>
  <si>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</si>
  <si>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</si>
  <si>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</si>
  <si>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</si>
  <si>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</si>
  <si>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</si>
  <si>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</si>
  <si>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</si>
  <si>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</si>
  <si>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</si>
  <si>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</si>
  <si>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</si>
  <si>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</si>
  <si>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</si>
  <si>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</si>
  <si>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</si>
  <si>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</si>
  <si>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</si>
  <si>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</si>
  <si>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</si>
  <si>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</si>
  <si>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</si>
  <si>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</si>
  <si>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</si>
  <si>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</si>
  <si>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</si>
  <si>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</si>
  <si>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</si>
  <si>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</si>
  <si>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</si>
  <si>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</si>
  <si>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</si>
  <si>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</si>
  <si>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</si>
  <si>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</si>
  <si>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</si>
  <si>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</si>
  <si>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</si>
  <si>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</si>
  <si>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</si>
  <si>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</si>
  <si>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</si>
  <si>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</si>
  <si>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</si>
  <si>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</si>
  <si>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</si>
  <si>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</si>
  <si>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</si>
  <si>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</si>
  <si>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</si>
  <si>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</si>
  <si>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</si>
  <si>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</si>
  <si>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</si>
  <si>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</si>
  <si>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</si>
  <si>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</si>
  <si>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</si>
  <si>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</si>
  <si>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</si>
  <si>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</si>
  <si>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</si>
  <si>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</si>
  <si>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</si>
  <si>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</si>
  <si>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</si>
  <si>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</si>
  <si>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</si>
  <si>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</si>
  <si>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</si>
  <si>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</si>
  <si>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</si>
  <si>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</si>
  <si>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</si>
  <si>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</si>
  <si>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</si>
  <si>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</si>
  <si>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</si>
  <si>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</si>
  <si>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</si>
  <si>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</si>
  <si>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</si>
  <si>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</si>
  <si>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</si>
  <si>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</si>
  <si>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</si>
  <si>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</si>
  <si>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</si>
  <si>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</si>
  <si>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</si>
  <si>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</si>
  <si>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</si>
  <si>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</si>
  <si>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</si>
  <si>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</si>
  <si>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</si>
  <si>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</si>
  <si>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</si>
  <si>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</si>
  <si>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</si>
  <si>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</si>
  <si>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</si>
  <si>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</si>
  <si>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</si>
  <si>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</si>
  <si>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</si>
  <si>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</si>
  <si>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</si>
  <si>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</si>
  <si>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</si>
  <si>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</si>
  <si>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</si>
  <si>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</si>
  <si>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</si>
  <si>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</si>
  <si>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</si>
  <si>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</si>
  <si>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</si>
  <si>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</si>
  <si>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</si>
  <si>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</si>
  <si>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</si>
  <si>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</si>
  <si>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</si>
  <si>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</si>
  <si>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</si>
  <si>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</si>
  <si>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</si>
  <si>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</si>
  <si>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</si>
  <si>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</si>
  <si>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</si>
  <si>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</si>
  <si>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</si>
  <si>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</si>
  <si>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</si>
  <si>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</si>
  <si>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</si>
  <si>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</si>
  <si>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</si>
  <si>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</si>
  <si>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</si>
  <si>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</si>
  <si>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</si>
  <si>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</si>
  <si>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</si>
  <si>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</si>
  <si>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</si>
  <si>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</si>
  <si>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</si>
  <si>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</si>
  <si>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</si>
  <si>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</si>
  <si>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</si>
  <si>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</si>
  <si>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</si>
  <si>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</si>
  <si>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</si>
  <si>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</si>
  <si>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</si>
  <si>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</si>
  <si>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</si>
  <si>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</si>
  <si>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</si>
  <si>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</si>
  <si>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</si>
  <si>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</si>
  <si>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</si>
  <si>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</si>
  <si>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</si>
  <si>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</si>
  <si>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</si>
  <si>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</si>
  <si>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</si>
  <si>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</si>
  <si>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</si>
  <si>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</si>
  <si>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</si>
  <si>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</si>
  <si>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</si>
  <si>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</si>
  <si>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</si>
  <si>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</si>
  <si>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</si>
  <si>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</si>
  <si>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</si>
  <si>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</si>
  <si>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</si>
  <si>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</si>
  <si>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</si>
  <si>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</si>
  <si>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</si>
  <si>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</si>
  <si>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</si>
  <si>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</si>
  <si>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</si>
  <si>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</si>
  <si>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</si>
  <si>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</si>
  <si>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</si>
  <si>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</si>
  <si>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</si>
  <si>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</si>
  <si>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</si>
  <si>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</si>
  <si>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</si>
  <si>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</si>
  <si>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</si>
  <si>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</si>
  <si>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</si>
  <si>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</si>
  <si>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</si>
  <si>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</si>
  <si>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</si>
  <si>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</si>
  <si>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</si>
  <si>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</si>
  <si>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</si>
  <si>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</si>
  <si>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</si>
  <si>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</si>
  <si>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</si>
  <si>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</si>
  <si>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</si>
  <si>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</si>
  <si>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</si>
  <si>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</si>
  <si>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</si>
  <si>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</si>
  <si>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</si>
  <si>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</si>
  <si>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</si>
  <si>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</si>
  <si>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</si>
  <si>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</si>
  <si>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</si>
  <si>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</si>
  <si>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</si>
  <si>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</si>
  <si>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</si>
  <si>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</si>
  <si>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</si>
  <si>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</si>
  <si>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</si>
  <si>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</si>
  <si>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</si>
  <si>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</si>
  <si>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</si>
  <si>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</si>
  <si>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</si>
  <si>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</si>
  <si>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</si>
  <si>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</si>
  <si>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</si>
  <si>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</si>
  <si>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</si>
  <si>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</si>
  <si>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</si>
  <si>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</si>
  <si>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</si>
  <si>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</si>
  <si>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</si>
  <si>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</si>
  <si>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</si>
  <si>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</si>
  <si>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</si>
  <si>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</si>
  <si>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</si>
  <si>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</si>
  <si>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</si>
  <si>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</si>
  <si>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</si>
  <si>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</si>
  <si>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</si>
  <si>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</si>
  <si>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</si>
  <si>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</si>
  <si>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</si>
  <si>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</si>
  <si>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</si>
  <si>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</si>
  <si>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</si>
  <si>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</si>
  <si>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</si>
  <si>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</si>
  <si>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</si>
  <si>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</si>
  <si>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</si>
  <si>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</si>
  <si>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</si>
  <si>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</si>
  <si>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</si>
  <si>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</si>
  <si>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</si>
  <si>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</si>
  <si>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</si>
  <si>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</si>
  <si>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</si>
  <si>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</si>
  <si>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</si>
  <si>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</si>
  <si>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</si>
  <si>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</si>
  <si>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</si>
  <si>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</si>
  <si>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</si>
  <si>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</si>
  <si>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</si>
  <si>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</si>
  <si>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</si>
  <si>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</si>
  <si>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</si>
  <si>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</si>
  <si>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</si>
  <si>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</si>
  <si>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</si>
  <si>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</si>
  <si>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</si>
  <si>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</si>
  <si>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</si>
  <si>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</si>
  <si>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</si>
  <si>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</si>
  <si>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</si>
  <si>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</si>
  <si>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</si>
  <si>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</si>
  <si>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</si>
  <si>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</si>
  <si>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</si>
  <si>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</si>
  <si>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</si>
  <si>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</si>
  <si>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</si>
  <si>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</si>
  <si>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</si>
  <si>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</si>
  <si>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</si>
  <si>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</si>
  <si>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</si>
  <si>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</si>
  <si>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</si>
  <si>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</si>
  <si>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</si>
  <si>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</si>
  <si>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</si>
  <si>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</si>
  <si>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</si>
  <si>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</si>
  <si>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</si>
  <si>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</si>
  <si>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</si>
  <si>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</si>
  <si>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</si>
  <si>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</si>
  <si>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</si>
  <si>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</si>
  <si>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</si>
  <si>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</si>
  <si>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</si>
  <si>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</si>
  <si>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</si>
  <si>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</si>
  <si>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</si>
  <si>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</si>
  <si>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</si>
  <si>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</si>
  <si>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</si>
  <si>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</si>
  <si>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</si>
  <si>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</si>
  <si>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</si>
  <si>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</si>
  <si>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</si>
  <si>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</si>
  <si>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</si>
  <si>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</si>
  <si>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</si>
  <si>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</si>
  <si>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</si>
  <si>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</si>
  <si>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</si>
  <si>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</si>
  <si>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</si>
  <si>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</si>
  <si>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</si>
  <si>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</si>
  <si>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</si>
  <si>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</si>
  <si>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</si>
  <si>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</si>
  <si>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</si>
  <si>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</si>
  <si>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</si>
  <si>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</si>
  <si>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</si>
  <si>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</si>
  <si>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</si>
  <si>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</si>
  <si>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</si>
  <si>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</si>
  <si>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</si>
  <si>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</si>
  <si>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</si>
  <si>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</si>
  <si>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</si>
  <si>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</si>
  <si>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</si>
  <si>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</si>
  <si>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</si>
  <si>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</si>
  <si>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</si>
  <si>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</si>
  <si>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</si>
  <si>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</si>
  <si>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</si>
  <si>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</si>
  <si>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</si>
  <si>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</si>
  <si>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</si>
  <si>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</si>
  <si>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</si>
  <si>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</si>
  <si>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</si>
  <si>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</si>
  <si>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</si>
  <si>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</si>
  <si>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</si>
  <si>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</si>
  <si>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</si>
  <si>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</si>
  <si>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</si>
  <si>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</si>
  <si>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</si>
  <si>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</si>
  <si>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</si>
  <si>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</si>
  <si>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</si>
  <si>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</si>
  <si>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</si>
  <si>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</si>
  <si>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</si>
  <si>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</si>
  <si>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</si>
  <si>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</si>
  <si>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</si>
  <si>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</si>
  <si>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</si>
  <si>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</si>
  <si>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</si>
  <si>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</si>
  <si>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</si>
  <si>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</si>
  <si>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</si>
  <si>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</si>
  <si>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</si>
  <si>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</si>
  <si>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</si>
  <si>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</si>
  <si>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</si>
  <si>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</si>
  <si>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</si>
  <si>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</si>
  <si>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</si>
  <si>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</si>
  <si>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</si>
  <si>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</si>
  <si>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</si>
  <si>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</si>
  <si>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</si>
  <si>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</si>
  <si>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</si>
  <si>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</si>
  <si>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</si>
  <si>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</si>
  <si>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</si>
  <si>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</si>
  <si>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</si>
  <si>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</si>
  <si>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</si>
  <si>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</si>
  <si>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</si>
  <si>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</si>
  <si>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</si>
  <si>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</si>
  <si>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</si>
  <si>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</si>
  <si>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</si>
  <si>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</si>
  <si>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</si>
  <si>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</si>
  <si>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</si>
  <si>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</si>
  <si>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</si>
  <si>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</si>
  <si>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</si>
  <si>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</si>
  <si>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</si>
  <si>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</si>
  <si>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</si>
  <si>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</si>
  <si>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</si>
  <si>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</si>
  <si>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</si>
  <si>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</si>
  <si>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</si>
  <si>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</si>
  <si>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</si>
  <si>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</si>
  <si>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</si>
  <si>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</si>
  <si>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</si>
  <si>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</si>
  <si>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</si>
  <si>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</si>
  <si>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</si>
  <si>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</si>
  <si>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</si>
  <si>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</si>
  <si>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</si>
  <si>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</si>
  <si>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</si>
  <si>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</si>
  <si>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</si>
  <si>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</si>
  <si>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</si>
  <si>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</si>
  <si>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</si>
  <si>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</si>
  <si>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</si>
  <si>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</si>
  <si>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</si>
  <si>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</si>
  <si>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</si>
  <si>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</si>
  <si>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</si>
  <si>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</si>
  <si>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</si>
  <si>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</si>
  <si>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</si>
  <si>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</si>
  <si>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</si>
  <si>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</si>
  <si>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</si>
  <si>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</si>
  <si>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</si>
  <si>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</si>
  <si>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</si>
  <si>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</si>
  <si>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</si>
  <si>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</si>
  <si>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</si>
  <si>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</si>
  <si>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</si>
  <si>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</si>
  <si>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</si>
  <si>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</si>
  <si>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</si>
  <si>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</si>
  <si>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</si>
  <si>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</si>
  <si>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</si>
  <si>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</si>
  <si>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</si>
  <si>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</si>
  <si>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</si>
  <si>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</si>
  <si>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</si>
  <si>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</si>
  <si>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</si>
  <si>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</si>
  <si>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</si>
  <si>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</si>
  <si>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</si>
  <si>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</si>
  <si>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</si>
  <si>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</si>
  <si>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</si>
  <si>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</si>
  <si>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</si>
  <si>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</si>
  <si>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</si>
  <si>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</si>
  <si>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</si>
  <si>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</si>
  <si>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</si>
  <si>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</si>
  <si>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</si>
  <si>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</si>
  <si>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</si>
  <si>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</si>
  <si>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</si>
  <si>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</si>
  <si>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</si>
  <si>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</si>
  <si>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</si>
  <si>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</si>
  <si>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</si>
  <si>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</si>
  <si>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</si>
  <si>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</si>
  <si>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</si>
  <si>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</si>
  <si>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</si>
  <si>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</si>
  <si>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</si>
  <si>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</si>
  <si>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</si>
  <si>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</si>
  <si>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</si>
  <si>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</si>
  <si>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</si>
  <si>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</si>
  <si>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</si>
  <si>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</si>
  <si>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</si>
  <si>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</si>
  <si>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</si>
  <si>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</si>
  <si>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</si>
  <si>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</si>
  <si>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</si>
  <si>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</si>
  <si>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</si>
  <si>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</si>
  <si>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</si>
  <si>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</si>
  <si>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</si>
  <si>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</si>
  <si>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</si>
  <si>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</si>
  <si>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</si>
  <si>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</si>
  <si>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</si>
  <si>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</si>
  <si>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</si>
  <si>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</si>
  <si>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</si>
  <si>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</si>
  <si>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</si>
  <si>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</si>
  <si>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</si>
  <si>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</si>
  <si>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</si>
  <si>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</si>
  <si>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</si>
  <si>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</si>
  <si>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</si>
  <si>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</si>
  <si>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</si>
  <si>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</si>
  <si>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</si>
  <si>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</si>
  <si>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</si>
  <si>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</si>
  <si>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</si>
  <si>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</si>
  <si>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</si>
  <si>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</si>
  <si>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</si>
  <si>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</si>
  <si>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</si>
  <si>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</si>
  <si>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</si>
  <si>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</si>
  <si>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</si>
  <si>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</si>
  <si>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</si>
  <si>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</si>
  <si>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</si>
  <si>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</si>
  <si>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</si>
  <si>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</si>
  <si>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</si>
  <si>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</si>
  <si>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</si>
  <si>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</si>
  <si>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</si>
  <si>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</si>
  <si>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</si>
  <si>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</si>
  <si>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</si>
  <si>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</si>
  <si>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</si>
  <si>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</si>
  <si>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</si>
  <si>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</si>
  <si>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</si>
  <si>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</si>
  <si>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</si>
  <si>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</si>
  <si>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</si>
  <si>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</si>
  <si>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</si>
  <si>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</si>
  <si>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</si>
  <si>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</si>
  <si>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</si>
  <si>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</si>
  <si>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</si>
  <si>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</si>
  <si>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</si>
  <si>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</si>
  <si>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</si>
  <si>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</si>
  <si>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</si>
  <si>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</si>
  <si>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</si>
  <si>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</si>
  <si>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</si>
  <si>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</si>
  <si>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</si>
  <si>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</si>
  <si>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</si>
  <si>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</si>
  <si>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</si>
  <si>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</si>
  <si>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</si>
  <si>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</si>
  <si>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</si>
  <si>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</si>
  <si>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</si>
  <si>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</si>
  <si>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</si>
  <si>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</si>
  <si>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</si>
  <si>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</si>
  <si>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</si>
  <si>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</si>
  <si>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</si>
  <si>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</si>
  <si>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</si>
  <si>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</si>
  <si>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</si>
  <si>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</si>
  <si>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</si>
  <si>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</si>
  <si>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</si>
  <si>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</si>
  <si>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</si>
  <si>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</si>
  <si>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</si>
  <si>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</si>
  <si>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</si>
  <si>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</si>
  <si>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</si>
  <si>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</si>
  <si>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</si>
  <si>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</si>
  <si>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</si>
  <si>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</si>
  <si>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</si>
  <si>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</si>
  <si>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</si>
  <si>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</si>
  <si>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</si>
  <si>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</si>
  <si>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</si>
  <si>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</si>
  <si>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</si>
  <si>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</si>
  <si>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</si>
  <si>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</si>
  <si>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</si>
  <si>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</si>
  <si>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</si>
  <si>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</si>
  <si>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</si>
  <si>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</si>
  <si>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</si>
  <si>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</si>
  <si>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</si>
  <si>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</si>
  <si>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</si>
  <si>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</si>
  <si>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</si>
  <si>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</si>
  <si>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</si>
  <si>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</si>
  <si>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</si>
  <si>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</si>
  <si>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</si>
  <si>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</si>
  <si>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</si>
  <si>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</si>
  <si>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</si>
  <si>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</si>
  <si>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</si>
  <si>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</si>
  <si>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</si>
  <si>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</si>
  <si>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</si>
  <si>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</si>
  <si>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</si>
  <si>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</si>
  <si>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</si>
  <si>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</si>
  <si>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</si>
  <si>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</si>
  <si>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</si>
  <si>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</si>
  <si>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</si>
  <si>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</si>
  <si>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</si>
  <si>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</si>
  <si>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</si>
  <si>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</si>
  <si>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</si>
  <si>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</si>
  <si>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</si>
  <si>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</si>
  <si>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</si>
  <si>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</si>
  <si>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</si>
  <si>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</si>
  <si>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</si>
  <si>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</si>
  <si>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</si>
  <si>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</si>
  <si>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</si>
  <si>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</si>
  <si>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</si>
  <si>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</si>
  <si>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</si>
  <si>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</si>
  <si>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</si>
  <si>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</si>
  <si>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</si>
  <si>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</si>
  <si>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</si>
  <si>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</si>
  <si>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</si>
  <si>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</si>
  <si>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</si>
  <si>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</si>
  <si>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</si>
  <si>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</si>
  <si>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</si>
  <si>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</si>
  <si>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</si>
  <si>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</si>
  <si>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</si>
  <si>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</si>
  <si>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</si>
  <si>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</si>
  <si>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</si>
  <si>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</si>
  <si>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</si>
  <si>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</si>
  <si>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</si>
  <si>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</si>
  <si>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</si>
  <si>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</si>
  <si>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</si>
  <si>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</si>
  <si>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</si>
  <si>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</si>
  <si>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</si>
  <si>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</si>
  <si>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</si>
  <si>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</si>
  <si>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</si>
  <si>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</si>
  <si>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</si>
  <si>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</si>
  <si>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</si>
  <si>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</si>
  <si>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</si>
  <si>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</si>
  <si>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</si>
  <si>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</si>
  <si>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</si>
  <si>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</si>
  <si>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</si>
  <si>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</si>
  <si>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</si>
  <si>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</si>
  <si>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</si>
  <si>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</si>
  <si>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</si>
  <si>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</si>
  <si>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</si>
  <si>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</si>
  <si>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</si>
  <si>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</si>
  <si>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</si>
  <si>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</si>
  <si>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</si>
  <si>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</si>
  <si>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</si>
  <si>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</si>
  <si>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</si>
  <si>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</si>
  <si>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</si>
  <si>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</si>
  <si>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</si>
  <si>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</si>
  <si>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</si>
  <si>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</si>
  <si>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</si>
  <si>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</si>
  <si>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</si>
  <si>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</si>
  <si>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</si>
  <si>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</si>
  <si>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</si>
  <si>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</si>
  <si>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</si>
  <si>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</si>
  <si>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</si>
  <si>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</si>
  <si>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</si>
  <si>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</si>
  <si>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</si>
  <si>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</si>
  <si>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</si>
  <si>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</si>
  <si>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</si>
  <si>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</si>
  <si>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</si>
  <si>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</si>
  <si>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</si>
  <si>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</si>
  <si>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</si>
  <si>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</si>
  <si>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</si>
  <si>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</si>
  <si>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</si>
  <si>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</si>
  <si>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</si>
  <si>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</si>
  <si>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</si>
  <si>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</si>
  <si>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</si>
  <si>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</si>
  <si>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</si>
  <si>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</si>
  <si>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</si>
  <si>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</si>
  <si>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</si>
  <si>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</si>
  <si>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</si>
  <si>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</si>
  <si>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</si>
  <si>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</si>
  <si>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</si>
  <si>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</si>
  <si>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</si>
  <si>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</si>
  <si>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</si>
  <si>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</si>
  <si>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</si>
  <si>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</si>
  <si>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</si>
  <si>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</si>
  <si>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</si>
  <si>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</si>
  <si>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</si>
  <si>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</si>
  <si>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</si>
  <si>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</si>
  <si>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</si>
  <si>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</si>
  <si>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</si>
  <si>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</si>
  <si>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</si>
  <si>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</si>
  <si>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</si>
  <si>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</si>
  <si>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</si>
  <si>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</si>
  <si>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</si>
  <si>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</si>
  <si>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</si>
  <si>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</si>
  <si>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</si>
  <si>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</si>
  <si>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</si>
  <si>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</si>
  <si>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</si>
  <si>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</si>
  <si>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</si>
  <si>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</si>
  <si>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</si>
  <si>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</si>
  <si>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</si>
  <si>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</si>
  <si>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</si>
  <si>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</si>
  <si>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</si>
  <si>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</si>
  <si>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</si>
  <si>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</si>
  <si>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</si>
  <si>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</si>
  <si>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</si>
  <si>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</si>
  <si>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</si>
  <si>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</si>
  <si>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</si>
  <si>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</si>
  <si>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</si>
  <si>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</si>
  <si>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</si>
  <si>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</si>
  <si>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</si>
  <si>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</si>
  <si>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</si>
  <si>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</si>
  <si>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</si>
  <si>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</si>
  <si>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</si>
  <si>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</si>
  <si>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</si>
  <si>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</si>
  <si>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</si>
  <si>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</si>
  <si>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</si>
  <si>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</si>
  <si>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</si>
  <si>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</si>
  <si>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</si>
  <si>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</si>
  <si>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</si>
  <si>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</si>
  <si>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</si>
  <si>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</si>
  <si>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</si>
  <si>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</si>
  <si>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</si>
  <si>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</si>
  <si>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</si>
  <si>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</si>
  <si>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</si>
  <si>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</si>
  <si>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</si>
  <si>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</si>
  <si>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</si>
  <si>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</si>
  <si>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</si>
  <si>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</si>
  <si>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</si>
  <si>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</si>
  <si>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</si>
  <si>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</si>
  <si>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</si>
  <si>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</si>
  <si>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</si>
  <si>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</si>
  <si>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</si>
  <si>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</si>
  <si>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</si>
  <si>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</si>
  <si>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</si>
  <si>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</si>
  <si>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</si>
  <si>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</si>
  <si>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</si>
  <si>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</si>
  <si>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</si>
  <si>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</si>
  <si>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</si>
  <si>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</si>
  <si>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</si>
  <si>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</si>
  <si>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</si>
  <si>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</si>
  <si>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</si>
  <si>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</si>
  <si>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</si>
  <si>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</si>
  <si>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</si>
  <si>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</si>
  <si>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</si>
  <si>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</si>
  <si>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</si>
  <si>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</si>
  <si>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</si>
  <si>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</si>
  <si>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</si>
  <si>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</si>
  <si>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</si>
  <si>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</si>
  <si>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</si>
  <si>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</si>
  <si>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</si>
  <si>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</si>
  <si>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</si>
  <si>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</si>
  <si>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</si>
  <si>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</si>
  <si>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</si>
  <si>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</si>
  <si>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</si>
  <si>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</si>
  <si>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</si>
  <si>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</si>
  <si>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</si>
  <si>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</si>
  <si>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</si>
  <si>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</si>
  <si>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</si>
  <si>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</si>
  <si>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</si>
  <si>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</si>
  <si>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</si>
  <si>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</si>
  <si>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</si>
  <si>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</si>
  <si>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</si>
  <si>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</si>
  <si>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</si>
  <si>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</si>
  <si>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</si>
  <si>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</si>
  <si>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</si>
  <si>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</si>
  <si>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</si>
  <si>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</si>
  <si>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</si>
  <si>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</si>
  <si>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</si>
  <si>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</si>
  <si>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</si>
  <si>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</si>
  <si>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</si>
  <si>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</si>
  <si>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</si>
  <si>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</si>
  <si>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</si>
  <si>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</si>
  <si>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</si>
  <si>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</si>
  <si>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</si>
  <si>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</si>
  <si>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</si>
  <si>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</si>
  <si>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</si>
  <si>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</si>
  <si>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</si>
  <si>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</si>
  <si>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</si>
  <si>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</si>
  <si>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</si>
  <si>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</si>
  <si>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</si>
  <si>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</si>
  <si>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</si>
  <si>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</si>
  <si>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</si>
  <si>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</si>
  <si>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</si>
  <si>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</si>
  <si>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</si>
  <si>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</si>
  <si>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</si>
  <si>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</si>
  <si>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</si>
  <si>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</si>
  <si>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</si>
  <si>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</si>
  <si>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</si>
  <si>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</si>
  <si>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</si>
  <si>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</si>
  <si>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</si>
  <si>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</si>
  <si>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</si>
  <si>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</si>
  <si>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</si>
  <si>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</si>
  <si>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</si>
  <si>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</si>
  <si>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</si>
  <si>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</si>
  <si>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</si>
  <si>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</si>
  <si>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</si>
  <si>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</si>
  <si>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</si>
  <si>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</si>
  <si>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</si>
  <si>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</si>
  <si>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</si>
  <si>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</si>
  <si>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</si>
  <si>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</si>
  <si>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</si>
  <si>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</si>
  <si>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</si>
  <si>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</si>
  <si>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</si>
  <si>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</si>
  <si>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</si>
  <si>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</si>
  <si>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</si>
  <si>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</si>
  <si>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</si>
  <si>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</si>
  <si>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</si>
  <si>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</si>
  <si>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</si>
  <si>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</si>
  <si>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</si>
  <si>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</si>
  <si>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</si>
  <si>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</si>
  <si>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</si>
  <si>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</si>
  <si>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</si>
  <si>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</si>
  <si>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</si>
  <si>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</si>
  <si>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</si>
  <si>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</si>
  <si>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</si>
  <si>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</si>
  <si>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</si>
  <si>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</si>
  <si>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</si>
  <si>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</si>
  <si>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</si>
  <si>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</si>
  <si>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</si>
  <si>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</si>
  <si>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</si>
  <si>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</si>
  <si>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</si>
  <si>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</si>
  <si>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</si>
  <si>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</si>
  <si>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</si>
  <si>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</si>
  <si>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</si>
  <si>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</si>
  <si>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</si>
  <si>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</si>
  <si>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</si>
  <si>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</si>
  <si>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</si>
  <si>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</si>
  <si>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</si>
  <si>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</si>
  <si>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</si>
  <si>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</si>
  <si>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</si>
  <si>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</si>
  <si>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</si>
  <si>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</si>
  <si>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</si>
  <si>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</si>
  <si>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</si>
  <si>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</si>
  <si>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</si>
  <si>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</si>
  <si>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</si>
  <si>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</si>
  <si>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</si>
  <si>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</si>
  <si>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</si>
  <si>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</si>
  <si>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</si>
  <si>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</si>
  <si>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</si>
  <si>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</si>
  <si>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</si>
  <si>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</si>
  <si>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</si>
  <si>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</si>
  <si>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</si>
  <si>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</si>
  <si>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</si>
  <si>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</si>
  <si>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</si>
  <si>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</si>
  <si>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</si>
  <si>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</si>
  <si>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</si>
  <si>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</si>
  <si>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</si>
  <si>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</si>
  <si>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</si>
  <si>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</si>
  <si>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</si>
  <si>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</si>
  <si>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</si>
  <si>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</si>
  <si>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</si>
  <si>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</si>
  <si>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</si>
  <si>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</si>
  <si>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</si>
  <si>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</si>
  <si>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</si>
  <si>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</si>
  <si>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</si>
  <si>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</si>
  <si>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</si>
  <si>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</si>
  <si>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</si>
  <si>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</si>
  <si>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</si>
  <si>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</si>
  <si>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</si>
  <si>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</si>
  <si>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</si>
  <si>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</si>
  <si>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</si>
  <si>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</si>
  <si>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</si>
  <si>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</si>
  <si>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</si>
  <si>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</si>
  <si>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</si>
  <si>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</si>
  <si>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</si>
  <si>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</si>
  <si>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</si>
  <si>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</si>
  <si>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</si>
  <si>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</si>
  <si>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</si>
  <si>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</si>
  <si>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</si>
  <si>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</si>
  <si>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</si>
  <si>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</si>
  <si>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</si>
  <si>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</si>
  <si>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</si>
  <si>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</si>
  <si>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</si>
  <si>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</si>
  <si>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</si>
  <si>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</si>
  <si>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</si>
  <si>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</si>
  <si>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</si>
  <si>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</si>
  <si>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</si>
  <si>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</si>
  <si>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</si>
  <si>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</si>
  <si>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</si>
  <si>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</si>
  <si>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</si>
  <si>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</si>
  <si>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</si>
  <si>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</si>
  <si>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</si>
  <si>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</si>
  <si>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</si>
  <si>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</si>
  <si>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</si>
  <si>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</si>
  <si>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</si>
  <si>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</si>
  <si>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</si>
  <si>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</si>
  <si>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</si>
  <si>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</si>
  <si>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</si>
  <si>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</si>
  <si>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</si>
  <si>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</si>
  <si>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</si>
  <si>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</si>
  <si>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</si>
  <si>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</si>
  <si>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</si>
  <si>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</si>
  <si>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</si>
  <si>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</si>
  <si>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</si>
  <si>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</si>
  <si>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</si>
  <si>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</si>
  <si>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</si>
  <si>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</si>
  <si>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</si>
  <si>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</si>
  <si>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</si>
  <si>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</si>
  <si>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</si>
  <si>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</si>
  <si>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</si>
  <si>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</si>
  <si>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</si>
  <si>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</si>
  <si>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</si>
  <si>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</si>
  <si>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</si>
  <si>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</si>
  <si>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</si>
  <si>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</si>
  <si>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</si>
  <si>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</si>
  <si>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</si>
  <si>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</si>
  <si>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</si>
  <si>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</si>
  <si>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</si>
  <si>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</si>
  <si>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</si>
  <si>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</si>
  <si>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</si>
  <si>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</si>
  <si>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</si>
  <si>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</si>
  <si>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</si>
  <si>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</si>
  <si>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</si>
  <si>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</si>
  <si>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</si>
  <si>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</si>
  <si>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</si>
  <si>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</si>
  <si>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</si>
  <si>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</si>
  <si>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</si>
  <si>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</si>
  <si>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</si>
  <si>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</si>
  <si>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</si>
  <si>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</si>
  <si>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</si>
  <si>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</si>
  <si>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</si>
  <si>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</si>
  <si>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</si>
  <si>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</si>
  <si>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</si>
  <si>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</si>
  <si>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</si>
  <si>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</si>
  <si>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</si>
  <si>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</si>
  <si>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</si>
  <si>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</si>
  <si>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</si>
  <si>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</si>
  <si>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</si>
  <si>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</si>
  <si>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</si>
  <si>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</si>
  <si>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</si>
  <si>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</si>
  <si>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</si>
  <si>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</si>
  <si>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</si>
  <si>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</si>
  <si>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</si>
  <si>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</si>
  <si>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</si>
  <si>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</si>
  <si>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</si>
  <si>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</si>
  <si>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</si>
  <si>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</si>
  <si>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</si>
  <si>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</si>
  <si>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</si>
  <si>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</si>
  <si>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</si>
  <si>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</si>
  <si>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</si>
  <si>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</si>
  <si>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</si>
  <si>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</si>
  <si>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</si>
  <si>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</si>
  <si>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</si>
  <si>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</si>
  <si>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</si>
  <si>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</si>
  <si>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</si>
  <si>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</si>
  <si>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</si>
  <si>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</si>
  <si>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</si>
  <si>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</si>
  <si>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</si>
  <si>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</si>
  <si>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</si>
  <si>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</si>
  <si>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</si>
  <si>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</si>
  <si>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</si>
  <si>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</si>
  <si>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</si>
  <si>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</si>
  <si>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</si>
  <si>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</si>
  <si>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</si>
  <si>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</si>
  <si>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</si>
  <si>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</si>
  <si>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</si>
  <si>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</si>
  <si>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</si>
  <si>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</si>
  <si>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</si>
  <si>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</si>
  <si>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</si>
  <si>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</si>
  <si>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</si>
  <si>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</si>
  <si>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</si>
  <si>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</si>
  <si>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</si>
  <si>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</si>
  <si>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</si>
  <si>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</si>
  <si>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</si>
  <si>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</si>
  <si>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</si>
  <si>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</si>
  <si>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</si>
  <si>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</si>
  <si>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</si>
  <si>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</si>
  <si>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</si>
  <si>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</si>
  <si>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</si>
  <si>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</si>
  <si>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</si>
  <si>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</si>
  <si>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</si>
  <si>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</si>
  <si>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</si>
  <si>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</si>
  <si>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</si>
  <si>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</si>
  <si>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</si>
  <si>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</si>
  <si>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</si>
  <si>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</si>
  <si>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</si>
  <si>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</si>
  <si>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</si>
  <si>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</si>
  <si>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</si>
  <si>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</si>
  <si>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</si>
  <si>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</si>
  <si>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</si>
  <si>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</si>
  <si>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</si>
  <si>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</si>
  <si>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</si>
  <si>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</si>
  <si>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</si>
  <si>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</si>
  <si>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</si>
  <si>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</si>
  <si>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</si>
  <si>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</si>
  <si>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</si>
  <si>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</si>
  <si>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</si>
  <si>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</si>
  <si>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</si>
  <si>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</si>
  <si>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</si>
  <si>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</si>
  <si>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</si>
  <si>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</si>
  <si>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</si>
  <si>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</si>
  <si>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</si>
  <si>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</si>
  <si>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</si>
  <si>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</si>
  <si>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</si>
  <si>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</si>
  <si>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</si>
  <si>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</si>
  <si>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</si>
  <si>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</si>
  <si>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</si>
  <si>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</si>
  <si>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</si>
  <si>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</si>
  <si>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</si>
  <si>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</si>
  <si>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</si>
  <si>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</si>
  <si>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</si>
  <si>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</si>
  <si>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</si>
  <si>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</si>
  <si>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</si>
  <si>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</si>
  <si>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</si>
  <si>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</si>
  <si>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</si>
  <si>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</si>
  <si>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</si>
  <si>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</si>
  <si>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</si>
  <si>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</si>
  <si>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</si>
  <si>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</si>
  <si>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</si>
  <si>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</si>
  <si>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</si>
  <si>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</si>
  <si>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</si>
  <si>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</si>
  <si>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</si>
  <si>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</si>
  <si>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</si>
  <si>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</si>
  <si>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</si>
  <si>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</si>
  <si>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</si>
  <si>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</si>
  <si>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</si>
  <si>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</si>
  <si>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</si>
  <si>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</si>
  <si>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</si>
  <si>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</si>
  <si>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</si>
  <si>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</si>
  <si>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</si>
  <si>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</si>
  <si>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</si>
  <si>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</si>
  <si>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</si>
  <si>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</si>
  <si>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</si>
  <si>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</si>
  <si>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</si>
  <si>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</si>
  <si>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</si>
  <si>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</si>
  <si>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</si>
  <si>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</si>
  <si>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</si>
  <si>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</si>
  <si>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</si>
  <si>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</si>
  <si>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</si>
  <si>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</si>
  <si>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</si>
  <si>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</si>
  <si>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</si>
  <si>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</si>
  <si>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</si>
  <si>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</si>
  <si>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</si>
  <si>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</si>
  <si>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</si>
  <si>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</si>
  <si>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</si>
  <si>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</si>
  <si>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</si>
  <si>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</si>
  <si>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</si>
  <si>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</si>
  <si>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</si>
  <si>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</si>
  <si>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</si>
  <si>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</si>
  <si>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</si>
  <si>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</si>
  <si>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</si>
  <si>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</si>
  <si>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</si>
  <si>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</si>
  <si>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</si>
  <si>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</si>
  <si>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</si>
  <si>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</si>
  <si>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</si>
  <si>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</si>
  <si>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</si>
  <si>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</si>
  <si>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</si>
  <si>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</si>
  <si>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</si>
  <si>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</si>
  <si>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</si>
  <si>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</si>
  <si>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</si>
  <si>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</si>
  <si>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</si>
  <si>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</si>
  <si>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</si>
  <si>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</si>
  <si>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</si>
  <si>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</si>
  <si>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</si>
  <si>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</si>
  <si>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</si>
  <si>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</si>
  <si>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</si>
  <si>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</si>
  <si>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</si>
  <si>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</si>
  <si>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</si>
  <si>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</si>
  <si>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</si>
  <si>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</si>
  <si>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</si>
  <si>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</si>
  <si>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</si>
  <si>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</si>
  <si>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</si>
  <si>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</si>
  <si>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</si>
  <si>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</si>
  <si>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</si>
  <si>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</si>
  <si>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</si>
  <si>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</si>
  <si>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</si>
  <si>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</si>
  <si>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</si>
  <si>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</si>
  <si>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</si>
  <si>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</si>
  <si>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</si>
  <si>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</si>
  <si>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</si>
  <si>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</si>
  <si>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</si>
  <si>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</si>
  <si>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</si>
  <si>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</si>
  <si>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</si>
  <si>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</si>
  <si>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</si>
  <si>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</si>
  <si>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</si>
  <si>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</si>
  <si>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</si>
  <si>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</si>
  <si>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</si>
  <si>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</si>
  <si>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</si>
  <si>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</si>
  <si>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</si>
  <si>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</si>
  <si>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</si>
  <si>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</si>
  <si>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</si>
  <si>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</si>
  <si>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</si>
  <si>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</si>
  <si>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</si>
  <si>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</si>
  <si>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</si>
  <si>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</si>
  <si>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</si>
  <si>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</si>
  <si>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</si>
  <si>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</si>
  <si>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</si>
  <si>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</si>
  <si>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</si>
  <si>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</si>
  <si>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</si>
  <si>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</si>
  <si>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</si>
  <si>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</si>
  <si>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</si>
  <si>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</si>
  <si>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</si>
  <si>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</si>
  <si>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</si>
  <si>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</si>
  <si>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</si>
  <si>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</si>
  <si>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</si>
  <si>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</si>
  <si>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</si>
  <si>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</si>
  <si>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</si>
  <si>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</si>
  <si>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</si>
  <si>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</si>
  <si>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</si>
  <si>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</si>
  <si>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</si>
  <si>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</si>
  <si>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</si>
  <si>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</si>
  <si>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</si>
  <si>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</si>
  <si>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</si>
  <si>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</si>
  <si>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</si>
  <si>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</si>
  <si>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</si>
  <si>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</si>
  <si>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</si>
  <si>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</si>
  <si>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</si>
  <si>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</si>
  <si>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</si>
  <si>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</si>
  <si>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</si>
  <si>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</si>
  <si>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</si>
  <si>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</si>
  <si>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</si>
  <si>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</si>
  <si>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</si>
  <si>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</si>
  <si>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</si>
  <si>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</si>
  <si>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</si>
  <si>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</si>
  <si>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</si>
  <si>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</si>
  <si>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</si>
  <si>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</si>
  <si>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</si>
  <si>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</si>
  <si>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</si>
  <si>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</si>
  <si>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</si>
  <si>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</si>
  <si>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</si>
  <si>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</si>
  <si>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</si>
  <si>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</si>
  <si>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</si>
  <si>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</si>
  <si>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</si>
  <si>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</si>
  <si>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</si>
  <si>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</si>
  <si>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</si>
  <si>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</si>
  <si>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</si>
  <si>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</si>
  <si>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</si>
  <si>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</si>
  <si>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</si>
  <si>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</si>
  <si>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</si>
  <si>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</si>
  <si>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</si>
  <si>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</si>
  <si>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</si>
  <si>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</si>
  <si>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</si>
  <si>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</si>
  <si>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</si>
  <si>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</si>
  <si>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</si>
  <si>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</si>
  <si>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</si>
  <si>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</si>
  <si>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</si>
  <si>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</si>
  <si>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</si>
  <si>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</si>
  <si>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</si>
  <si>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</si>
  <si>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</si>
  <si>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</si>
  <si>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</si>
  <si>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</si>
  <si>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</si>
  <si>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</si>
  <si>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</si>
  <si>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</si>
  <si>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</si>
  <si>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</si>
  <si>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</si>
  <si>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</si>
  <si>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</si>
  <si>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</si>
  <si>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</si>
  <si>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</si>
  <si>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</si>
  <si>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</si>
  <si>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</si>
  <si>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</si>
  <si>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</si>
  <si>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</si>
  <si>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</si>
  <si>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</si>
  <si>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</si>
  <si>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</si>
  <si>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</si>
  <si>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</si>
  <si>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</si>
  <si>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</si>
  <si>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</si>
  <si>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</si>
  <si>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</si>
  <si>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</si>
  <si>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</si>
  <si>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</si>
  <si>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</si>
  <si>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</si>
  <si>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</si>
  <si>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</si>
  <si>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</si>
  <si>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</si>
  <si>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</si>
  <si>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</si>
  <si>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</si>
  <si>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</si>
  <si>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</si>
  <si>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</si>
  <si>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</si>
  <si>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</si>
  <si>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</si>
  <si>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</si>
  <si>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</si>
  <si>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</si>
  <si>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</si>
  <si>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</si>
  <si>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</si>
  <si>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</si>
  <si>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</si>
  <si>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</si>
  <si>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</si>
  <si>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</si>
  <si>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</si>
  <si>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</si>
  <si>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</si>
  <si>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</si>
  <si>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</si>
  <si>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</si>
  <si>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</si>
  <si>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</si>
  <si>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</si>
  <si>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</si>
  <si>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</si>
  <si>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</si>
  <si>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</si>
  <si>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</si>
  <si>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</si>
  <si>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</si>
  <si>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</si>
  <si>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</si>
  <si>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</si>
  <si>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</si>
  <si>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</si>
  <si>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</si>
  <si>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</si>
  <si>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</si>
  <si>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</si>
  <si>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</si>
  <si>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</si>
  <si>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</si>
  <si>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</si>
  <si>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</si>
  <si>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</si>
  <si>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</si>
  <si>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</si>
  <si>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</si>
  <si>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</si>
  <si>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</si>
  <si>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</si>
  <si>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</si>
  <si>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</si>
  <si>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</si>
  <si>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</si>
  <si>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</si>
  <si>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</si>
  <si>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</si>
  <si>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</si>
  <si>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</si>
  <si>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</si>
  <si>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</si>
  <si>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</si>
  <si>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</si>
  <si>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</si>
  <si>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</si>
  <si>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</si>
  <si>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</si>
  <si>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</si>
  <si>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</si>
  <si>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</si>
  <si>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</si>
  <si>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</si>
  <si>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</si>
  <si>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</si>
  <si>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</si>
  <si>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</si>
  <si>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</si>
  <si>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</si>
  <si>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</si>
  <si>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</si>
  <si>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</si>
  <si>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</si>
  <si>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</si>
  <si>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</si>
  <si>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</si>
  <si>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</si>
  <si>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</si>
  <si>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</si>
  <si>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</si>
  <si>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</si>
  <si>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</si>
  <si>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</si>
  <si>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</si>
  <si>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</si>
  <si>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</si>
  <si>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</si>
  <si>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</si>
  <si>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</si>
  <si>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</si>
  <si>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</si>
  <si>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</si>
  <si>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</si>
  <si>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</si>
  <si>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</si>
  <si>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</si>
  <si>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</si>
  <si>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</si>
  <si>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</si>
  <si>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</si>
  <si>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</si>
  <si>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</si>
  <si>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</si>
  <si>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</si>
  <si>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</si>
  <si>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</si>
  <si>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</si>
  <si>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</si>
  <si>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</si>
  <si>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</si>
  <si>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</si>
  <si>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</si>
  <si>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</si>
  <si>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</si>
  <si>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</si>
  <si>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</si>
  <si>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</si>
  <si>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</si>
  <si>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</si>
  <si>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</si>
  <si>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</si>
  <si>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</si>
  <si>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</si>
  <si>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</si>
  <si>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</si>
  <si>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</si>
  <si>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</si>
  <si>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</si>
  <si>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</si>
  <si>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</si>
  <si>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</si>
  <si>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</si>
  <si>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</si>
  <si>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</si>
  <si>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</si>
  <si>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</si>
  <si>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</si>
  <si>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</si>
  <si>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</si>
  <si>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</si>
  <si>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</si>
  <si>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</si>
  <si>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</si>
  <si>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</si>
  <si>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</si>
  <si>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</si>
  <si>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</si>
  <si>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</si>
  <si>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</si>
  <si>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</si>
  <si>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</si>
  <si>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</si>
  <si>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</si>
  <si>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</si>
  <si>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</si>
  <si>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</si>
  <si>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</si>
  <si>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</si>
  <si>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</si>
  <si>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</si>
  <si>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</si>
  <si>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</si>
  <si>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</si>
  <si>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</si>
  <si>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</si>
  <si>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</si>
  <si>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</si>
  <si>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</si>
  <si>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</si>
  <si>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</si>
  <si>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</si>
  <si>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</si>
  <si>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</si>
  <si>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</si>
  <si>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</si>
  <si>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</si>
  <si>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</si>
  <si>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</si>
  <si>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</si>
  <si>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</si>
  <si>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</si>
  <si>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</si>
  <si>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</si>
  <si>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</si>
  <si>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</si>
  <si>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</si>
  <si>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</si>
  <si>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</si>
  <si>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</si>
  <si>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</si>
  <si>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</si>
  <si>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</si>
  <si>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</si>
  <si>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</si>
  <si>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</si>
  <si>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</si>
  <si>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</si>
  <si>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</si>
  <si>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</si>
  <si>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</si>
  <si>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</si>
  <si>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</si>
  <si>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</si>
  <si>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</si>
  <si>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</si>
  <si>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</si>
  <si>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</si>
  <si>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</si>
  <si>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</si>
  <si>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</si>
  <si>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</si>
  <si>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</si>
  <si>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</si>
  <si>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</si>
  <si>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</si>
  <si>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</si>
  <si>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</si>
  <si>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</si>
  <si>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</si>
  <si>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</si>
  <si>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</si>
  <si>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</si>
  <si>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</si>
  <si>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</si>
  <si>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</si>
  <si>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</si>
  <si>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</si>
  <si>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</si>
  <si>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</si>
  <si>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</si>
  <si>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</si>
  <si>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</si>
  <si>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</si>
  <si>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</si>
  <si>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</si>
  <si>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</si>
  <si>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</si>
  <si>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</si>
  <si>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</si>
  <si>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</si>
  <si>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</si>
  <si>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</si>
  <si>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</si>
  <si>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</si>
  <si>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</si>
  <si>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</si>
  <si>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</si>
  <si>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</si>
  <si>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</si>
  <si>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</si>
  <si>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</si>
  <si>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</si>
  <si>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</si>
  <si>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</si>
  <si>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</si>
  <si>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</si>
  <si>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</si>
  <si>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</si>
  <si>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</si>
  <si>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</si>
  <si>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</si>
  <si>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</si>
  <si>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</si>
  <si>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</si>
  <si>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</si>
  <si>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</si>
  <si>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</si>
  <si>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</si>
  <si>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</si>
  <si>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</si>
  <si>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</si>
  <si>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</si>
  <si>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</si>
  <si>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</si>
  <si>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</si>
  <si>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</si>
  <si>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</si>
  <si>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</si>
  <si>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</si>
  <si>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</si>
  <si>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</si>
  <si>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</si>
  <si>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</si>
  <si>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</si>
  <si>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</si>
  <si>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</si>
  <si>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</si>
  <si>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</si>
  <si>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</si>
  <si>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</si>
  <si>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</si>
  <si>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</si>
  <si>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</si>
  <si>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</si>
  <si>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</si>
  <si>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</si>
  <si>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</si>
  <si>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</si>
  <si>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</si>
  <si>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</si>
  <si>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</si>
  <si>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</si>
  <si>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</si>
  <si>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</si>
  <si>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</si>
  <si>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</si>
  <si>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</si>
  <si>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</si>
  <si>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</si>
  <si>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</si>
  <si>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</si>
  <si>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</si>
  <si>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</si>
  <si>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</si>
  <si>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</si>
  <si>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</si>
  <si>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</si>
  <si>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</si>
  <si>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</si>
  <si>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</si>
  <si>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</si>
  <si>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</si>
  <si>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</si>
  <si>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</si>
  <si>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</si>
  <si>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</si>
  <si>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</si>
  <si>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</si>
  <si>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</si>
  <si>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</si>
  <si>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</si>
  <si>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</si>
  <si>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</si>
  <si>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</si>
  <si>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</si>
  <si>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</si>
  <si>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</si>
  <si>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</si>
  <si>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</si>
  <si>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</si>
  <si>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</si>
  <si>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</si>
  <si>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</si>
  <si>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</si>
  <si>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</si>
  <si>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</si>
  <si>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</si>
  <si>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</si>
  <si>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</si>
  <si>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</si>
  <si>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</si>
  <si>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</si>
  <si>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</si>
  <si>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</si>
  <si>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</si>
  <si>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</si>
  <si>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</si>
  <si>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</si>
  <si>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</si>
  <si>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</si>
  <si>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</si>
  <si>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</si>
  <si>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</si>
  <si>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</si>
  <si>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</si>
  <si>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</si>
  <si>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</si>
  <si>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</si>
  <si>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</si>
  <si>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</si>
  <si>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</si>
  <si>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</si>
  <si>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</si>
  <si>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</si>
  <si>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</si>
  <si>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</si>
  <si>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</si>
  <si>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</si>
  <si>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</si>
  <si>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</si>
  <si>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</si>
  <si>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</si>
  <si>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</si>
  <si>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</si>
  <si>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</si>
  <si>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</si>
  <si>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</si>
  <si>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</si>
  <si>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</si>
  <si>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</si>
  <si>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</si>
  <si>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</si>
  <si>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</si>
  <si>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</si>
  <si>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</si>
  <si>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</si>
  <si>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</si>
  <si>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</si>
  <si>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</si>
  <si>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</si>
  <si>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</si>
  <si>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</si>
  <si>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</si>
  <si>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</si>
  <si>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</si>
  <si>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</si>
  <si>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</si>
  <si>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</si>
  <si>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</si>
  <si>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</si>
  <si>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</si>
  <si>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</si>
  <si>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</si>
  <si>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</si>
  <si>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</si>
  <si>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</si>
  <si>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</si>
  <si>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</si>
  <si>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</si>
  <si>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</si>
  <si>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</si>
  <si>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</si>
  <si>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</si>
  <si>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</si>
  <si>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</si>
  <si>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</si>
  <si>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</si>
  <si>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</si>
  <si>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</si>
  <si>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</si>
  <si>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</si>
  <si>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</si>
  <si>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</si>
  <si>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</si>
  <si>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</si>
  <si>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</si>
  <si>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</si>
  <si>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</si>
  <si>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</si>
  <si>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</si>
  <si>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</si>
  <si>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</si>
  <si>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</si>
  <si>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</si>
  <si>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</si>
  <si>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</si>
  <si>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</si>
  <si>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</si>
  <si>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</si>
  <si>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</si>
  <si>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</si>
  <si>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</si>
  <si>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</si>
  <si>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</si>
  <si>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</si>
  <si>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</si>
  <si>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</si>
  <si>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</si>
  <si>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</si>
  <si>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</si>
  <si>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</si>
  <si>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</si>
  <si>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</si>
  <si>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</si>
  <si>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</si>
  <si>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</si>
  <si>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</si>
  <si>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</si>
  <si>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</si>
  <si>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</si>
  <si>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</si>
  <si>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</si>
  <si>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</si>
  <si>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</si>
  <si>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</si>
  <si>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</si>
  <si>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</si>
  <si>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</si>
  <si>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</si>
  <si>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</si>
  <si>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</si>
  <si>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</si>
  <si>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</si>
  <si>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</si>
  <si>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</si>
  <si>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</si>
  <si>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</si>
  <si>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</si>
  <si>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</si>
  <si>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</si>
  <si>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</si>
  <si>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</si>
  <si>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</si>
  <si>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</si>
  <si>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</si>
  <si>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</si>
  <si>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</si>
  <si>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</si>
  <si>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</si>
  <si>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</si>
  <si>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</si>
  <si>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</si>
  <si>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</si>
  <si>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</si>
  <si>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</si>
  <si>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</si>
  <si>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</si>
  <si>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</si>
  <si>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</si>
  <si>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</si>
  <si>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</si>
  <si>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</si>
  <si>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</si>
  <si>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</si>
  <si>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</si>
  <si>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</si>
  <si>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</si>
  <si>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</si>
  <si>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</si>
  <si>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</si>
  <si>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</si>
  <si>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</si>
  <si>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</si>
  <si>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</si>
  <si>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</si>
  <si>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</si>
  <si>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</si>
  <si>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</si>
  <si>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</si>
  <si>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</si>
  <si>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</si>
  <si>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</si>
  <si>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</si>
  <si>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</si>
  <si>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</si>
  <si>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</si>
  <si>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</si>
  <si>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</si>
  <si>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</si>
  <si>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</si>
  <si>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</si>
  <si>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</si>
  <si>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</si>
  <si>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</si>
  <si>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</si>
  <si>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</si>
  <si>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</si>
  <si>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</si>
  <si>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</si>
  <si>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</si>
  <si>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</si>
  <si>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</si>
  <si>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</si>
  <si>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</si>
  <si>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</si>
  <si>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</si>
  <si>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</si>
  <si>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</si>
  <si>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</si>
  <si>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</si>
  <si>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</si>
  <si>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</si>
  <si>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</si>
  <si>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</si>
  <si>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</si>
  <si>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</si>
  <si>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</si>
  <si>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</si>
  <si>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</si>
  <si>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</si>
  <si>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</si>
  <si>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</si>
  <si>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</si>
  <si>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</si>
  <si>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</si>
  <si>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</si>
  <si>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</si>
  <si>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</si>
  <si>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</si>
  <si>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</si>
  <si>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</si>
  <si>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</si>
  <si>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</si>
  <si>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</si>
  <si>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</si>
  <si>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</si>
  <si>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</si>
  <si>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</si>
  <si>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</si>
  <si>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</si>
  <si>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</si>
  <si>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</si>
  <si>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</si>
  <si>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</si>
  <si>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</si>
  <si>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</si>
  <si>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</si>
  <si>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</si>
  <si>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</si>
  <si>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</si>
  <si>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</si>
  <si>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</si>
  <si>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</si>
  <si>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</si>
  <si>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</si>
  <si>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</si>
  <si>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</si>
  <si>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</si>
  <si>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</si>
  <si>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</si>
  <si>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</si>
  <si>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</si>
  <si>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</si>
  <si>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</si>
  <si>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</si>
  <si>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</si>
  <si>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</si>
  <si>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</si>
  <si>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</si>
  <si>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</si>
  <si>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</si>
  <si>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</si>
  <si>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</si>
  <si>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</si>
  <si>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</si>
  <si>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</si>
  <si>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</si>
  <si>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</si>
  <si>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</si>
  <si>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</si>
  <si>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</si>
  <si>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</si>
  <si>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</si>
  <si>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</si>
  <si>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</si>
  <si>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</si>
  <si>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</si>
  <si>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</si>
  <si>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</si>
  <si>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</si>
  <si>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</si>
  <si>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</si>
  <si>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</si>
  <si>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</si>
  <si>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</si>
  <si>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</si>
  <si>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</si>
  <si>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</si>
  <si>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</si>
  <si>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</si>
  <si>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</si>
  <si>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</si>
  <si>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</si>
  <si>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</si>
  <si>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</si>
  <si>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</si>
  <si>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</si>
  <si>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</si>
  <si>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</si>
  <si>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</si>
  <si>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</si>
  <si>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</si>
  <si>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</si>
  <si>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</si>
  <si>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</si>
  <si>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</si>
  <si>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</si>
  <si>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</si>
  <si>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</si>
  <si>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</si>
  <si>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</si>
  <si>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</si>
  <si>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</si>
  <si>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</si>
  <si>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</si>
  <si>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</si>
  <si>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</si>
  <si>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</si>
  <si>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</si>
  <si>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</si>
  <si>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</si>
  <si>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</si>
  <si>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</si>
  <si>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</si>
  <si>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</si>
  <si>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</si>
  <si>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</si>
  <si>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</si>
  <si>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</si>
  <si>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</si>
  <si>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</si>
  <si>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</si>
  <si>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</si>
  <si>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</si>
  <si>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</si>
  <si>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</si>
  <si>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</si>
  <si>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</si>
  <si>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</si>
  <si>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</si>
  <si>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</si>
  <si>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</si>
  <si>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</si>
  <si>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</si>
  <si>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</si>
  <si>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</si>
  <si>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</si>
  <si>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</si>
  <si>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</si>
  <si>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</si>
  <si>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</si>
  <si>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</si>
  <si>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</si>
  <si>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</si>
  <si>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</si>
  <si>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</si>
  <si>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</si>
  <si>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</si>
  <si>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</si>
  <si>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</si>
  <si>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</si>
  <si>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</si>
  <si>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</si>
  <si>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</si>
  <si>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</si>
  <si>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</si>
  <si>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</si>
  <si>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</si>
  <si>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</si>
  <si>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</si>
  <si>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</si>
  <si>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</si>
  <si>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</si>
  <si>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</si>
  <si>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</si>
  <si>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</si>
  <si>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</si>
  <si>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</si>
  <si>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</si>
  <si>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</si>
  <si>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</si>
  <si>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</si>
  <si>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</si>
  <si>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</si>
  <si>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</si>
  <si>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</si>
  <si>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</si>
  <si>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</si>
  <si>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</si>
  <si>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</si>
  <si>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</si>
  <si>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</si>
  <si>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</si>
  <si>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</si>
  <si>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</si>
  <si>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</si>
  <si>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</si>
  <si>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</si>
  <si>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</si>
  <si>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</si>
  <si>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</si>
  <si>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</si>
  <si>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</si>
  <si>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</si>
  <si>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</si>
  <si>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</si>
  <si>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</si>
  <si>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</si>
  <si>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</si>
  <si>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</si>
  <si>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</si>
  <si>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</si>
  <si>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</si>
  <si>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</si>
  <si>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</si>
  <si>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</si>
  <si>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</si>
  <si>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</si>
  <si>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</si>
  <si>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</si>
  <si>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</si>
  <si>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</si>
  <si>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</si>
  <si>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</si>
  <si>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</si>
  <si>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</si>
  <si>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</si>
  <si>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</si>
  <si>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</si>
  <si>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</si>
  <si>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</si>
  <si>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</si>
  <si>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</si>
  <si>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</si>
  <si>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</si>
  <si>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</si>
  <si>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</si>
  <si>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</si>
  <si>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</si>
  <si>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</si>
  <si>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</si>
  <si>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</si>
  <si>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</si>
  <si>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</si>
  <si>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</si>
  <si>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</si>
  <si>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</si>
  <si>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</si>
  <si>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</si>
  <si>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</si>
  <si>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</si>
  <si>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</si>
  <si>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</si>
  <si>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</si>
  <si>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</si>
  <si>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</si>
  <si>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</si>
  <si>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</si>
  <si>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</si>
  <si>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</si>
  <si>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</si>
  <si>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</si>
  <si>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</si>
  <si>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</si>
  <si>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</si>
  <si>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</si>
  <si>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</si>
  <si>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</si>
  <si>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</si>
  <si>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</si>
  <si>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</si>
  <si>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</si>
  <si>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</si>
  <si>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</si>
  <si>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</si>
  <si>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</si>
  <si>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</si>
  <si>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</si>
  <si>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</si>
  <si>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</si>
  <si>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</si>
  <si>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</si>
  <si>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</si>
  <si>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</si>
  <si>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</si>
  <si>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</si>
  <si>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</si>
  <si>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</si>
  <si>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</si>
  <si>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</si>
  <si>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</si>
  <si>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</si>
  <si>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</si>
  <si>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</si>
  <si>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</si>
  <si>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</si>
  <si>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</si>
  <si>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</si>
  <si>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</si>
  <si>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</si>
  <si>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</si>
  <si>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</si>
  <si>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</si>
  <si>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</si>
  <si>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</si>
  <si>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</si>
  <si>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</si>
  <si>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</si>
  <si>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</si>
  <si>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</si>
  <si>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</si>
  <si>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</si>
  <si>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</si>
  <si>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</si>
  <si>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</si>
  <si>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</si>
  <si>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</si>
  <si>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</si>
  <si>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</si>
  <si>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</si>
  <si>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</si>
  <si>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</si>
  <si>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</si>
  <si>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</si>
  <si>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</si>
  <si>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</si>
  <si>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</si>
  <si>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</si>
  <si>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</si>
  <si>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</si>
  <si>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</si>
  <si>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</si>
  <si>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</si>
  <si>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</si>
  <si>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</si>
  <si>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</si>
  <si>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</si>
  <si>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</si>
  <si>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</si>
  <si>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</si>
  <si>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</si>
  <si>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</si>
  <si>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</si>
  <si>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</si>
  <si>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</si>
  <si>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</si>
  <si>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</si>
  <si>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</si>
  <si>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</si>
  <si>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</si>
  <si>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</si>
  <si>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</si>
  <si>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</si>
  <si>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</si>
  <si>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</si>
  <si>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</si>
  <si>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</si>
  <si>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</si>
  <si>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</si>
  <si>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</si>
  <si>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</si>
  <si>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</si>
  <si>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</si>
  <si>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</si>
  <si>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</si>
  <si>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</si>
  <si>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</si>
  <si>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</si>
  <si>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</si>
  <si>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</si>
  <si>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</si>
  <si>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</si>
  <si>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</si>
  <si>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</si>
  <si>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</si>
  <si>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</si>
  <si>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</si>
  <si>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</si>
  <si>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</si>
  <si>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</si>
  <si>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</si>
  <si>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</si>
  <si>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</si>
  <si>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</si>
  <si>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</si>
  <si>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</si>
  <si>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</si>
  <si>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</si>
  <si>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</si>
  <si>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</si>
  <si>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</si>
  <si>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</si>
  <si>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</si>
  <si>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</si>
  <si>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</si>
  <si>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</si>
  <si>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</si>
  <si>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</si>
  <si>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</si>
  <si>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</si>
  <si>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</si>
  <si>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</si>
  <si>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</si>
  <si>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</si>
  <si>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</si>
  <si>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</si>
  <si>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</si>
  <si>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</si>
  <si>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</si>
  <si>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</si>
  <si>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</si>
  <si>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</si>
  <si>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</si>
  <si>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</si>
  <si>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</si>
  <si>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</si>
  <si>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</si>
  <si>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</si>
  <si>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</si>
  <si>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</si>
  <si>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</si>
  <si>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</si>
  <si>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</si>
  <si>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</si>
  <si>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</si>
  <si>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</si>
  <si>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</si>
  <si>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</si>
  <si>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</si>
  <si>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</si>
  <si>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</si>
  <si>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</si>
  <si>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</si>
  <si>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</si>
  <si>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</si>
  <si>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</si>
  <si>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</si>
  <si>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</si>
  <si>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</si>
  <si>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</si>
  <si>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</si>
  <si>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</si>
  <si>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</si>
  <si>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</si>
  <si>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</si>
  <si>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</si>
  <si>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</si>
  <si>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</si>
  <si>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</si>
  <si>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</si>
  <si>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</si>
  <si>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</si>
  <si>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</si>
  <si>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</si>
  <si>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</si>
  <si>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</si>
  <si>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</si>
  <si>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</si>
  <si>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</si>
  <si>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</si>
  <si>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</si>
  <si>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</si>
  <si>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</si>
  <si>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</si>
  <si>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</si>
  <si>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</si>
  <si>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</si>
  <si>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</si>
  <si>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</si>
  <si>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</si>
  <si>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</si>
  <si>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</si>
  <si>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</si>
  <si>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</si>
  <si>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</si>
  <si>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</si>
  <si>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</si>
  <si>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</si>
  <si>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</si>
  <si>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</si>
  <si>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</si>
  <si>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</si>
  <si>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</si>
  <si>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</si>
  <si>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</si>
  <si>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</si>
  <si>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</si>
  <si>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</si>
  <si>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</si>
  <si>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</si>
  <si>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</si>
  <si>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</si>
  <si>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</si>
  <si>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</si>
  <si>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</si>
  <si>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</si>
  <si>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</si>
  <si>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</si>
  <si>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</si>
  <si>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</si>
  <si>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</si>
  <si>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</si>
  <si>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</si>
  <si>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</si>
  <si>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</si>
  <si>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</si>
  <si>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</si>
  <si>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</si>
  <si>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</si>
  <si>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</si>
  <si>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</si>
  <si>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</si>
  <si>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</si>
  <si>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</si>
  <si>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</si>
  <si>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</si>
  <si>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</si>
  <si>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</si>
  <si>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</si>
  <si>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</si>
  <si>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</si>
  <si>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</si>
  <si>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</si>
  <si>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</si>
  <si>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</si>
  <si>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</si>
  <si>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</si>
  <si>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</si>
  <si>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</si>
  <si>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</si>
  <si>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</si>
  <si>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</si>
  <si>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</si>
  <si>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</si>
  <si>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</si>
  <si>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</si>
  <si>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</si>
  <si>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</si>
  <si>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</si>
  <si>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</si>
  <si>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</si>
  <si>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</si>
  <si>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</si>
  <si>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</si>
  <si>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</si>
  <si>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</si>
  <si>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</si>
  <si>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</si>
  <si>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</si>
  <si>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</si>
  <si>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</si>
  <si>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</si>
  <si>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</si>
  <si>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</si>
  <si>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</si>
  <si>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</si>
  <si>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</si>
  <si>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</si>
  <si>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</si>
  <si>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</si>
  <si>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</si>
  <si>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</si>
  <si>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</si>
  <si>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</si>
  <si>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</si>
  <si>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</si>
  <si>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</si>
  <si>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</si>
  <si>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</si>
  <si>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</si>
  <si>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</si>
  <si>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</si>
  <si>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</si>
  <si>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</si>
  <si>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</si>
  <si>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</si>
  <si>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</si>
  <si>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</si>
  <si>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</si>
  <si>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</si>
  <si>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</si>
  <si>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</si>
  <si>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</si>
  <si>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</si>
  <si>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</si>
  <si>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</si>
  <si>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</si>
  <si>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</si>
  <si>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</si>
  <si>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</si>
  <si>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</si>
  <si>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</si>
  <si>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</si>
  <si>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</si>
  <si>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</si>
  <si>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</si>
  <si>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</si>
  <si>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</si>
  <si>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</si>
  <si>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</si>
  <si>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</si>
  <si>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</si>
  <si>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</si>
  <si>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</si>
  <si>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</si>
  <si>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</si>
  <si>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</si>
  <si>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</si>
  <si>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</si>
  <si>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</si>
  <si>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</si>
  <si>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</si>
  <si>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</si>
  <si>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</si>
  <si>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</si>
  <si>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</si>
  <si>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</si>
  <si>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</si>
  <si>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</si>
  <si>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</si>
  <si>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</si>
  <si>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</si>
  <si>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</si>
  <si>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</si>
  <si>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</si>
  <si>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</si>
  <si>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</si>
  <si>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</si>
  <si>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</si>
  <si>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</si>
  <si>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</si>
  <si>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</si>
  <si>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</si>
  <si>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</si>
  <si>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</si>
  <si>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</si>
  <si>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</si>
  <si>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</si>
  <si>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</si>
  <si>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</si>
  <si>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</si>
  <si>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</si>
  <si>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</si>
  <si>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</si>
  <si>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</si>
  <si>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</si>
  <si>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</si>
  <si>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</si>
  <si>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</si>
  <si>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</si>
  <si>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</si>
  <si>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</si>
  <si>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</si>
  <si>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</si>
  <si>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</si>
  <si>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</si>
  <si>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</si>
  <si>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</si>
  <si>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</si>
  <si>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</si>
  <si>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</si>
  <si>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</si>
  <si>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</si>
  <si>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</si>
  <si>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</si>
  <si>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</si>
  <si>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</si>
  <si>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</si>
  <si>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</si>
  <si>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</si>
  <si>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</si>
  <si>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</si>
  <si>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</si>
  <si>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</si>
  <si>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</si>
  <si>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</si>
  <si>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</si>
  <si>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</si>
  <si>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</si>
  <si>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</si>
  <si>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</si>
  <si>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</si>
  <si>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</si>
  <si>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</si>
  <si>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</si>
  <si>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</si>
  <si>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</si>
  <si>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</si>
  <si>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</si>
  <si>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</si>
  <si>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</si>
  <si>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</si>
  <si>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</si>
  <si>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</si>
  <si>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</si>
  <si>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</si>
  <si>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</si>
  <si>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</si>
  <si>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</si>
  <si>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</si>
  <si>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</si>
  <si>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</si>
  <si>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</si>
  <si>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</si>
  <si>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</si>
  <si>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</si>
  <si>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</si>
  <si>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</si>
  <si>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</si>
  <si>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</si>
  <si>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</si>
  <si>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</si>
  <si>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</si>
  <si>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</si>
  <si>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</si>
  <si>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</si>
  <si>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</si>
  <si>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</si>
  <si>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</si>
  <si>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</si>
  <si>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</si>
  <si>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</si>
  <si>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</si>
  <si>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</si>
  <si>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</si>
  <si>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</si>
  <si>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</si>
  <si>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</si>
  <si>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</si>
  <si>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</si>
  <si>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</si>
  <si>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</si>
  <si>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</si>
  <si>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</si>
  <si>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</si>
  <si>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</si>
  <si>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</si>
  <si>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</si>
  <si>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</si>
  <si>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</si>
  <si>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</si>
  <si>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</si>
  <si>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</si>
  <si>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</si>
  <si>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</si>
  <si>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</si>
  <si>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</si>
  <si>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</si>
  <si>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</si>
  <si>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</si>
  <si>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</si>
  <si>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</si>
  <si>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</si>
  <si>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</si>
  <si>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</si>
  <si>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</si>
  <si>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</si>
  <si>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</si>
  <si>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</si>
  <si>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</si>
  <si>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</si>
  <si>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</si>
  <si>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</si>
  <si>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</si>
  <si>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</si>
  <si>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</si>
  <si>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</si>
  <si>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</si>
  <si>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</si>
  <si>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</si>
  <si>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</si>
  <si>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</si>
  <si>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</si>
  <si>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</si>
  <si>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</si>
  <si>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</si>
  <si>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</si>
  <si>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</si>
  <si>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</si>
  <si>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</si>
  <si>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</si>
  <si>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</si>
  <si>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</si>
  <si>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</si>
  <si>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</si>
  <si>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</si>
  <si>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</si>
  <si>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</si>
  <si>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</si>
  <si>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</si>
  <si>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</si>
  <si>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</si>
  <si>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</si>
  <si>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</si>
  <si>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</si>
  <si>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</si>
  <si>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</si>
  <si>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</si>
  <si>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</si>
  <si>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</si>
  <si>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</si>
  <si>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</si>
  <si>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</si>
  <si>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</si>
  <si>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</si>
  <si>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</si>
  <si>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</si>
  <si>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</si>
  <si>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</si>
  <si>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</si>
  <si>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</si>
  <si>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</si>
  <si>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</si>
  <si>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</si>
  <si>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</si>
  <si>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</si>
  <si>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</si>
  <si>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</si>
  <si>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</si>
  <si>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</si>
  <si>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</si>
  <si>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</si>
  <si>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</si>
  <si>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</si>
  <si>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</si>
  <si>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</si>
  <si>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</si>
  <si>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</si>
  <si>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</si>
  <si>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</si>
  <si>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</si>
  <si>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</si>
  <si>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</si>
  <si>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</si>
  <si>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</si>
  <si>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</si>
  <si>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</si>
  <si>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</si>
  <si>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</si>
  <si>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</si>
  <si>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</si>
  <si>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</si>
  <si>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</si>
  <si>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</si>
  <si>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</si>
  <si>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</si>
  <si>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</si>
  <si>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</si>
  <si>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</si>
  <si>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</si>
  <si>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</si>
  <si>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</si>
  <si>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</si>
  <si>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</si>
  <si>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</si>
  <si>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</si>
  <si>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</si>
  <si>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</si>
  <si>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</si>
  <si>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</si>
  <si>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</si>
  <si>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</si>
  <si>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</si>
  <si>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</si>
  <si>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</si>
  <si>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</si>
  <si>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</si>
  <si>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</si>
  <si>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</si>
  <si>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</si>
  <si>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</si>
  <si>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</si>
  <si>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</si>
  <si>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</si>
  <si>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</si>
  <si>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</si>
  <si>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</si>
  <si>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</si>
  <si>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</si>
  <si>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</si>
  <si>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</si>
  <si>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</si>
  <si>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</si>
  <si>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</si>
  <si>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</si>
  <si>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</si>
  <si>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</si>
  <si>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</si>
  <si>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</si>
  <si>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</si>
  <si>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</si>
  <si>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</si>
  <si>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</si>
  <si>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</si>
  <si>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</si>
  <si>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</si>
  <si>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</si>
  <si>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</si>
  <si>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</si>
  <si>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</si>
  <si>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</si>
  <si>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</si>
  <si>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</si>
  <si>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</si>
  <si>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</si>
  <si>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</si>
  <si>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</si>
  <si>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</si>
  <si>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</si>
  <si>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</si>
  <si>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</si>
  <si>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</si>
  <si>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</si>
  <si>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</si>
  <si>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</si>
  <si>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</si>
  <si>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</si>
  <si>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</si>
  <si>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</si>
  <si>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</si>
  <si>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</si>
  <si>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</si>
  <si>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</si>
  <si>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</si>
  <si>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</si>
  <si>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</si>
  <si>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</si>
  <si>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</si>
  <si>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</si>
  <si>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</si>
  <si>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</si>
  <si>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</si>
  <si>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</si>
  <si>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</si>
  <si>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</si>
  <si>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</si>
  <si>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</si>
  <si>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</si>
  <si>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</si>
  <si>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</si>
  <si>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</si>
  <si>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</si>
  <si>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</si>
  <si>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</si>
  <si>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</si>
  <si>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</si>
  <si>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</si>
  <si>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</si>
  <si>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</si>
  <si>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</si>
  <si>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</si>
  <si>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</si>
  <si>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</si>
  <si>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</si>
  <si>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</si>
  <si>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</si>
  <si>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</si>
  <si>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</si>
  <si>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</si>
  <si>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</si>
  <si>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</si>
  <si>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</si>
  <si>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</si>
  <si>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</si>
  <si>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</si>
  <si>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</si>
  <si>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</si>
  <si>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</si>
  <si>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</si>
  <si>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</si>
  <si>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</si>
  <si>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</si>
  <si>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</si>
  <si>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</si>
  <si>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</si>
  <si>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</si>
  <si>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</si>
  <si>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</si>
  <si>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</si>
  <si>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</si>
  <si>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</si>
  <si>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</si>
  <si>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</si>
  <si>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</si>
  <si>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</si>
  <si>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</si>
  <si>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</si>
  <si>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</si>
  <si>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</si>
  <si>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</si>
  <si>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</si>
  <si>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</si>
  <si>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</si>
  <si>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</si>
  <si>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</si>
  <si>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</si>
  <si>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</si>
  <si>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</si>
  <si>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</si>
  <si>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</si>
  <si>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</si>
  <si>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</si>
  <si>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</si>
  <si>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</si>
  <si>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</si>
  <si>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</si>
  <si>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</si>
  <si>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</si>
  <si>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</si>
  <si>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</si>
  <si>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</si>
  <si>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</si>
  <si>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</si>
  <si>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</si>
  <si>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</si>
  <si>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</si>
  <si>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</si>
  <si>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</si>
  <si>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</si>
  <si>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</si>
  <si>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</si>
  <si>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</si>
  <si>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</si>
  <si>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</si>
  <si>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</si>
  <si>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</si>
  <si>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</si>
  <si>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</si>
  <si>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</si>
  <si>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</si>
  <si>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</si>
  <si>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</si>
  <si>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</si>
  <si>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</si>
  <si>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</si>
  <si>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</si>
  <si>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</si>
  <si>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</si>
  <si>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</si>
  <si>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</si>
  <si>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</si>
  <si>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</si>
  <si>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</si>
  <si>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</si>
  <si>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</si>
  <si>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</si>
  <si>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</si>
  <si>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</si>
  <si>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</si>
  <si>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</si>
  <si>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</si>
  <si>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</si>
  <si>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</si>
  <si>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</si>
  <si>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</si>
  <si>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</si>
  <si>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</si>
  <si>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</si>
  <si>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</si>
  <si>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</si>
  <si>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</si>
  <si>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</si>
  <si>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</si>
  <si>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</si>
  <si>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</si>
  <si>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</si>
  <si>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</si>
  <si>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</si>
  <si>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</si>
  <si>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</si>
  <si>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</si>
  <si>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</si>
  <si>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</si>
  <si>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</si>
  <si>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</si>
  <si>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</si>
  <si>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</si>
  <si>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</si>
  <si>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</si>
  <si>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</si>
  <si>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</si>
  <si>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</si>
  <si>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</si>
  <si>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</si>
  <si>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</si>
  <si>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</si>
  <si>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</si>
  <si>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</si>
  <si>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</si>
  <si>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</si>
  <si>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</si>
  <si>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</si>
  <si>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</si>
  <si>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</si>
  <si>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</si>
  <si>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</si>
  <si>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</si>
  <si>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</si>
  <si>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</si>
  <si>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</si>
  <si>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</si>
  <si>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</si>
  <si>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</si>
  <si>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</si>
  <si>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</si>
  <si>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</si>
  <si>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</si>
  <si>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</si>
  <si>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</si>
  <si>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</si>
  <si>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</si>
  <si>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</si>
  <si>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</si>
  <si>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</si>
  <si>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</si>
  <si>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</si>
  <si>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</si>
  <si>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</si>
  <si>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</si>
  <si>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</si>
  <si>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</si>
  <si>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</si>
  <si>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</si>
  <si>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</si>
  <si>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</si>
  <si>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</si>
  <si>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</si>
  <si>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</si>
  <si>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</si>
  <si>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</si>
  <si>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</si>
  <si>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</si>
  <si>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</si>
  <si>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</si>
  <si>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</si>
  <si>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</si>
  <si>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</si>
  <si>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</si>
  <si>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</si>
  <si>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</si>
  <si>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</si>
  <si>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</si>
  <si>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</si>
  <si>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</si>
  <si>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</si>
  <si>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</si>
  <si>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</si>
  <si>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</si>
  <si>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</si>
  <si>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</si>
  <si>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</si>
  <si>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</si>
  <si>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</si>
  <si>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</si>
  <si>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</si>
  <si>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</si>
  <si>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</si>
  <si>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</si>
  <si>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</si>
  <si>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</si>
  <si>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</si>
  <si>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</si>
  <si>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</si>
  <si>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</si>
  <si>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</si>
  <si>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</si>
  <si>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</si>
  <si>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</si>
  <si>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</si>
  <si>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</si>
  <si>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</si>
  <si>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</si>
  <si>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</si>
  <si>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</si>
  <si>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</si>
  <si>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</si>
  <si>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</si>
  <si>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</si>
  <si>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</si>
  <si>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</si>
  <si>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</si>
  <si>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</si>
  <si>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</si>
  <si>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</si>
  <si>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</si>
  <si>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</si>
  <si>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</si>
  <si>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</si>
  <si>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</si>
  <si>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</si>
  <si>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</si>
  <si>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</si>
  <si>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</si>
  <si>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</si>
  <si>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</si>
  <si>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</si>
  <si>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</si>
  <si>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</si>
  <si>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</si>
  <si>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</si>
  <si>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</si>
  <si>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</si>
  <si>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</si>
  <si>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</si>
  <si>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</si>
  <si>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</si>
  <si>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</si>
  <si>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</si>
  <si>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</si>
  <si>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</si>
  <si>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</si>
  <si>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</si>
  <si>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</si>
  <si>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</si>
  <si>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</si>
  <si>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</si>
  <si>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</si>
  <si>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</si>
  <si>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</si>
  <si>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</si>
  <si>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</si>
  <si>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</si>
  <si>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</si>
  <si>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</si>
  <si>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</si>
  <si>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</si>
  <si>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</si>
  <si>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</si>
  <si>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</si>
  <si>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</si>
  <si>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</si>
  <si>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</si>
  <si>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</si>
  <si>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</si>
  <si>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</si>
  <si>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</si>
  <si>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</si>
  <si>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</si>
  <si>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</si>
  <si>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</si>
  <si>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</si>
  <si>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</si>
  <si>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</si>
  <si>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</si>
  <si>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</si>
  <si>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</si>
  <si>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</si>
  <si>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</si>
  <si>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</si>
  <si>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</si>
  <si>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</si>
  <si>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</si>
  <si>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</si>
  <si>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</si>
  <si>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</si>
  <si>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</si>
  <si>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</si>
  <si>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</si>
  <si>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</si>
  <si>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</si>
  <si>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</si>
  <si>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</si>
  <si>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</si>
  <si>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</si>
  <si>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</si>
  <si>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</si>
  <si>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</si>
  <si>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</si>
  <si>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</si>
  <si>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</si>
  <si>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</si>
  <si>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</si>
  <si>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</si>
  <si>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</si>
  <si>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</si>
  <si>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</si>
  <si>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</si>
  <si>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</si>
  <si>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</si>
  <si>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</si>
  <si>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</si>
  <si>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</si>
  <si>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</si>
  <si>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</si>
  <si>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</si>
  <si>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</si>
  <si>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</si>
  <si>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</si>
  <si>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</si>
  <si>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</si>
  <si>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</si>
  <si>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</si>
  <si>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</si>
  <si>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</si>
  <si>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</si>
  <si>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</si>
  <si>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</si>
  <si>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</si>
  <si>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</si>
  <si>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</si>
  <si>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</si>
  <si>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</si>
  <si>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</si>
  <si>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</si>
  <si>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</si>
  <si>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</si>
  <si>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</si>
  <si>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</si>
  <si>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</si>
  <si>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</si>
  <si>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</si>
  <si>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</si>
  <si>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</si>
  <si>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</si>
  <si>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</si>
  <si>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</si>
  <si>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</si>
  <si>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</si>
  <si>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</si>
  <si>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</si>
  <si>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</si>
  <si>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</si>
  <si>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</si>
  <si>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</si>
  <si>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</si>
  <si>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</si>
  <si>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</si>
  <si>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</si>
  <si>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</si>
  <si>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</si>
  <si>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</si>
  <si>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</si>
  <si>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</si>
  <si>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</si>
  <si>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</si>
  <si>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</si>
  <si>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</si>
  <si>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</si>
  <si>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</si>
  <si>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</si>
  <si>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</si>
  <si>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</si>
  <si>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</si>
  <si>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</si>
  <si>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</si>
  <si>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</si>
  <si>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</si>
  <si>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</si>
  <si>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</si>
  <si>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</si>
  <si>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</si>
  <si>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</si>
  <si>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</si>
  <si>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</si>
  <si>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</si>
  <si>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</si>
  <si>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</si>
  <si>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</si>
  <si>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</si>
  <si>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</si>
  <si>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</si>
  <si>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</si>
  <si>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</si>
  <si>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</si>
  <si>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</si>
  <si>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</si>
  <si>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</si>
  <si>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</si>
  <si>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</si>
  <si>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</si>
  <si>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</si>
  <si>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</si>
  <si>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</si>
  <si>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</si>
  <si>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</si>
  <si>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</si>
  <si>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</si>
  <si>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</si>
  <si>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</si>
  <si>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</si>
  <si>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</si>
  <si>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</si>
  <si>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</si>
  <si>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</si>
  <si>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</si>
  <si>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</si>
  <si>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</si>
  <si>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</si>
  <si>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</si>
  <si>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</si>
  <si>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</si>
  <si>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</si>
  <si>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</si>
  <si>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</si>
  <si>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</si>
  <si>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</si>
  <si>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</si>
  <si>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</si>
  <si>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</si>
  <si>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</si>
  <si>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</si>
  <si>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</si>
  <si>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</si>
  <si>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</si>
  <si>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</si>
  <si>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</si>
  <si>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</si>
  <si>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</si>
  <si>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</si>
  <si>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</si>
  <si>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</si>
  <si>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</si>
  <si>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</si>
  <si>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</si>
  <si>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</si>
  <si>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</si>
  <si>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</si>
  <si>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</si>
  <si>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</si>
  <si>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</si>
  <si>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</si>
  <si>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</si>
  <si>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</si>
  <si>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</si>
  <si>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</si>
  <si>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</si>
  <si>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</si>
  <si>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</si>
  <si>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</si>
  <si>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</si>
  <si>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</si>
  <si>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</si>
  <si>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</si>
  <si>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</si>
  <si>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</si>
  <si>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</si>
  <si>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</si>
  <si>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</si>
  <si>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</si>
  <si>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</si>
  <si>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</si>
  <si>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</si>
  <si>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</si>
  <si>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</si>
  <si>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</si>
  <si>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</si>
  <si>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</si>
  <si>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</si>
  <si>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</si>
  <si>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</si>
  <si>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</si>
  <si>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</si>
  <si>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</si>
  <si>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</si>
  <si>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</si>
  <si>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</si>
  <si>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</si>
  <si>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</si>
  <si>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</si>
  <si>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</si>
  <si>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</si>
  <si>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</si>
  <si>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</si>
  <si>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</si>
  <si>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</si>
  <si>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</si>
  <si>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</si>
  <si>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</si>
  <si>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</si>
  <si>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</si>
  <si>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</si>
  <si>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</si>
  <si>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</si>
  <si>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</si>
  <si>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</si>
  <si>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</si>
  <si>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</si>
  <si>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</si>
  <si>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</si>
  <si>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</si>
  <si>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</si>
  <si>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</si>
  <si>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</si>
  <si>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</si>
  <si>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</si>
  <si>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</si>
  <si>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</si>
  <si>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</si>
  <si>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</si>
  <si>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</si>
  <si>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</si>
  <si>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</si>
  <si>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</si>
  <si>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</si>
  <si>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</si>
  <si>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</si>
  <si>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</si>
  <si>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</si>
  <si>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</si>
  <si>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</si>
  <si>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</si>
  <si>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</si>
  <si>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</si>
  <si>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</si>
  <si>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</si>
  <si>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</si>
  <si>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</si>
  <si>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</si>
  <si>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</si>
  <si>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</si>
  <si>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</si>
  <si>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</si>
  <si>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</si>
  <si>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</si>
  <si>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</si>
  <si>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</si>
  <si>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</si>
  <si>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</si>
  <si>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</si>
  <si>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</si>
  <si>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</si>
  <si>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</si>
  <si>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</si>
  <si>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</si>
  <si>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</si>
  <si>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</si>
  <si>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</si>
  <si>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</si>
  <si>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</si>
  <si>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</si>
  <si>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</si>
  <si>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</si>
  <si>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</si>
  <si>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</si>
  <si>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</si>
  <si>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</si>
  <si>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</si>
  <si>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</si>
  <si>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</si>
  <si>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</si>
  <si>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</si>
  <si>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</si>
  <si>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</si>
  <si>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</si>
  <si>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</si>
  <si>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</si>
  <si>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</si>
  <si>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</si>
  <si>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</si>
  <si>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</si>
  <si>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</si>
  <si>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</si>
  <si>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</si>
  <si>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</si>
  <si>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</si>
  <si>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</si>
  <si>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</si>
  <si>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</si>
  <si>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</si>
  <si>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</si>
  <si>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</si>
  <si>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</si>
  <si>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</si>
  <si>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</si>
  <si>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</si>
  <si>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</si>
  <si>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</si>
  <si>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</si>
  <si>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</si>
  <si>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</si>
  <si>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</si>
  <si>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</si>
  <si>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</si>
  <si>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</si>
  <si>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</si>
  <si>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</si>
  <si>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</si>
  <si>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</si>
  <si>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</si>
  <si>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</si>
  <si>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</si>
  <si>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</si>
  <si>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</si>
  <si>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</si>
  <si>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</si>
  <si>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</si>
  <si>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</si>
  <si>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</si>
  <si>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</si>
  <si>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</si>
  <si>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</si>
  <si>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</si>
  <si>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</si>
  <si>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</si>
  <si>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</si>
  <si>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</si>
  <si>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</si>
  <si>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</si>
  <si>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</si>
  <si>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</si>
  <si>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</si>
  <si>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</si>
  <si>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</si>
  <si>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</si>
  <si>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</si>
  <si>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</si>
  <si>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</si>
  <si>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</si>
  <si>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</si>
  <si>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</si>
  <si>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</si>
  <si>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</si>
  <si>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</si>
  <si>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</si>
  <si>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</si>
  <si>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</si>
  <si>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</si>
  <si>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</si>
  <si>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</si>
  <si>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</si>
  <si>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</si>
  <si>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</si>
  <si>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</si>
  <si>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</si>
  <si>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</si>
  <si>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</si>
  <si>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</si>
  <si>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</si>
  <si>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</si>
  <si>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</si>
  <si>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</si>
  <si>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</si>
  <si>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</si>
  <si>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</si>
  <si>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</si>
  <si>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</si>
  <si>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</si>
  <si>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</si>
  <si>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</si>
  <si>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</si>
  <si>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</si>
  <si>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</si>
  <si>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</si>
  <si>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</si>
  <si>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</si>
  <si>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</si>
  <si>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</si>
  <si>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</si>
  <si>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</si>
  <si>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</si>
  <si>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</si>
  <si>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</si>
  <si>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</si>
  <si>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</si>
  <si>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</si>
  <si>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</si>
  <si>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</si>
  <si>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</si>
  <si>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</si>
  <si>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</si>
  <si>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</si>
  <si>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</si>
  <si>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</si>
  <si>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</si>
  <si>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</si>
  <si>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</si>
  <si>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</si>
  <si>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</si>
  <si>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</si>
  <si>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</si>
  <si>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</si>
  <si>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</si>
  <si>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</si>
  <si>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</si>
  <si>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</si>
  <si>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</si>
  <si>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</si>
  <si>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</si>
  <si>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</si>
  <si>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</si>
  <si>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</si>
  <si>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</si>
  <si>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</si>
  <si>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</si>
  <si>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</si>
  <si>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</si>
  <si>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</si>
  <si>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</si>
  <si>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</si>
  <si>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</si>
  <si>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</si>
  <si>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</si>
  <si>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</si>
  <si>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</si>
  <si>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</si>
  <si>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</si>
  <si>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</si>
  <si>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</si>
  <si>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</si>
  <si>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</si>
  <si>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</si>
  <si>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</si>
  <si>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</si>
  <si>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</si>
  <si>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</si>
  <si>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</si>
  <si>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</si>
  <si>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</si>
  <si>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</si>
  <si>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</si>
  <si>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</si>
  <si>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</si>
  <si>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</si>
  <si>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</si>
  <si>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</si>
  <si>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</si>
  <si>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</si>
  <si>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</si>
  <si>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</si>
  <si>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</si>
  <si>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</si>
  <si>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</si>
  <si>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</si>
  <si>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</si>
  <si>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</si>
  <si>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</si>
  <si>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</si>
  <si>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</si>
  <si>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</si>
  <si>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</si>
  <si>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</si>
  <si>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</si>
  <si>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</si>
  <si>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</si>
  <si>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</si>
  <si>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</si>
  <si>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</si>
  <si>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</si>
  <si>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</si>
  <si>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</si>
  <si>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</si>
  <si>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</si>
  <si>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</si>
  <si>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</si>
  <si>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</si>
  <si>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</si>
  <si>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</si>
  <si>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</si>
  <si>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</si>
  <si>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</si>
  <si>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</si>
  <si>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</si>
  <si>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</si>
  <si>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</si>
  <si>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</si>
  <si>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</si>
  <si>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</si>
  <si>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</si>
  <si>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</si>
  <si>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</si>
  <si>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</si>
  <si>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</si>
  <si>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</si>
  <si>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</si>
  <si>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</si>
  <si>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</si>
  <si>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</si>
  <si>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</si>
  <si>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</si>
  <si>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</si>
  <si>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</si>
  <si>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</si>
  <si>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</si>
  <si>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</si>
  <si>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</si>
  <si>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</si>
  <si>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</si>
  <si>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</si>
  <si>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</si>
  <si>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</si>
  <si>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</si>
  <si>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</si>
  <si>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</si>
  <si>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</si>
  <si>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</si>
  <si>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</si>
  <si>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</si>
  <si>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</si>
  <si>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</si>
  <si>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</si>
  <si>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</si>
  <si>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</si>
  <si>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</si>
  <si>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</si>
  <si>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</si>
  <si>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</si>
  <si>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</si>
  <si>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</si>
  <si>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</si>
  <si>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</si>
  <si>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</si>
  <si>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</si>
  <si>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</si>
  <si>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</si>
  <si>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</si>
  <si>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</si>
  <si>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</si>
  <si>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</si>
  <si>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</si>
  <si>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</si>
  <si>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</si>
  <si>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</si>
  <si>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</si>
  <si>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</si>
  <si>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</si>
  <si>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</si>
  <si>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</si>
  <si>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</si>
  <si>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</si>
  <si>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</si>
  <si>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</si>
  <si>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</si>
  <si>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</si>
  <si>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</si>
  <si>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</si>
  <si>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</si>
  <si>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</si>
  <si>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</si>
  <si>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</si>
  <si>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</si>
  <si>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</si>
  <si>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</si>
  <si>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</si>
  <si>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</si>
  <si>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</si>
  <si>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</si>
  <si>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</si>
  <si>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</si>
  <si>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</si>
  <si>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</si>
  <si>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</si>
  <si>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</si>
  <si>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</si>
  <si>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</si>
  <si>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</si>
  <si>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</si>
  <si>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</si>
  <si>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</si>
  <si>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</si>
  <si>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</si>
  <si>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</si>
  <si>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</si>
  <si>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</si>
  <si>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</si>
  <si>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</si>
  <si>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</si>
  <si>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</si>
  <si>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</si>
  <si>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</si>
  <si>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</si>
  <si>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</si>
  <si>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</si>
  <si>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</si>
  <si>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</si>
  <si>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</si>
  <si>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</si>
  <si>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</si>
  <si>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</si>
  <si>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</si>
  <si>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</si>
  <si>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</si>
  <si>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</si>
  <si>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</si>
  <si>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</si>
  <si>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</si>
  <si>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</si>
  <si>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</si>
  <si>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</si>
  <si>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</si>
  <si>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</si>
  <si>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</si>
  <si>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</si>
  <si>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</si>
  <si>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</si>
  <si>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</si>
  <si>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</si>
  <si>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</si>
  <si>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</si>
  <si>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</si>
  <si>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</si>
  <si>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</si>
  <si>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</si>
  <si>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</si>
  <si>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</si>
  <si>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</si>
  <si>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</si>
  <si>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</si>
  <si>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</si>
  <si>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</si>
  <si>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</si>
  <si>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</si>
  <si>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</si>
  <si>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</si>
  <si>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</si>
  <si>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</si>
  <si>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</si>
  <si>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</si>
  <si>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</si>
  <si>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</si>
  <si>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</si>
  <si>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</si>
  <si>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</si>
  <si>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</si>
  <si>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</si>
  <si>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</si>
  <si>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</si>
  <si>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</si>
  <si>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</si>
  <si>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</si>
  <si>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</si>
  <si>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</si>
  <si>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</si>
  <si>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</si>
  <si>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</si>
  <si>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</si>
  <si>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</si>
  <si>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</si>
  <si>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</si>
  <si>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</si>
  <si>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</si>
  <si>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</si>
  <si>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</si>
  <si>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</si>
  <si>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</si>
  <si>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</si>
  <si>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</si>
  <si>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</si>
  <si>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</si>
  <si>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</si>
  <si>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</si>
  <si>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</si>
  <si>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</si>
  <si>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</si>
  <si>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</si>
  <si>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</si>
  <si>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</si>
  <si>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</si>
  <si>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</si>
  <si>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</si>
  <si>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</si>
  <si>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</si>
  <si>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</si>
  <si>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</si>
  <si>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</si>
  <si>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</si>
  <si>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</si>
  <si>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</si>
  <si>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</si>
  <si>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</si>
  <si>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</si>
  <si>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</si>
  <si>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</si>
  <si>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</si>
  <si>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</si>
  <si>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</si>
  <si>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</si>
  <si>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</si>
  <si>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</si>
  <si>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</si>
  <si>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</si>
  <si>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</si>
  <si>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</si>
  <si>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</si>
  <si>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</si>
  <si>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</si>
  <si>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</si>
  <si>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</si>
  <si>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</si>
  <si>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</si>
  <si>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</si>
  <si>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</si>
  <si>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</si>
  <si>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</si>
  <si>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</si>
  <si>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</si>
  <si>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</si>
  <si>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</si>
  <si>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</si>
  <si>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</si>
  <si>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</si>
  <si>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</si>
  <si>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</si>
  <si>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</si>
  <si>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</si>
  <si>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</si>
  <si>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</si>
  <si>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</si>
  <si>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</si>
  <si>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</si>
  <si>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</si>
  <si>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</si>
  <si>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</si>
  <si>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</si>
  <si>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</si>
  <si>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</si>
  <si>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</si>
  <si>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</si>
  <si>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</si>
  <si>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</si>
  <si>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</si>
  <si>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</si>
  <si>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</si>
  <si>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</si>
  <si>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</si>
  <si>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</si>
  <si>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</si>
  <si>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</si>
  <si>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</si>
  <si>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</si>
  <si>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</si>
  <si>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</si>
  <si>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</si>
  <si>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</si>
  <si>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</si>
  <si>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</si>
  <si>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</si>
  <si>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</si>
  <si>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</si>
  <si>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</si>
  <si>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</si>
  <si>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</si>
  <si>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</si>
  <si>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</si>
  <si>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</si>
  <si>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</si>
  <si>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</si>
  <si>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</si>
  <si>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</si>
  <si>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</si>
  <si>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</si>
  <si>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</si>
  <si>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</si>
  <si>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</si>
  <si>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</si>
  <si>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</si>
  <si>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</si>
  <si>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</si>
  <si>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</si>
  <si>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</si>
  <si>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</si>
  <si>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</si>
  <si>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</si>
  <si>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</si>
  <si>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</si>
  <si>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</si>
  <si>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</si>
  <si>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</si>
  <si>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</si>
  <si>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</si>
  <si>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</si>
  <si>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</si>
  <si>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</si>
  <si>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</si>
  <si>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</si>
  <si>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</si>
  <si>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</si>
  <si>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</si>
  <si>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</si>
  <si>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</si>
  <si>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</si>
  <si>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</si>
  <si>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</si>
  <si>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</si>
  <si>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</si>
  <si>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</si>
  <si>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</si>
  <si>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</si>
  <si>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</si>
  <si>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</si>
  <si>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</si>
  <si>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</si>
  <si>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</si>
  <si>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</si>
  <si>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</si>
  <si>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</si>
  <si>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</si>
  <si>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</si>
  <si>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</si>
  <si>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</si>
  <si>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</si>
  <si>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</si>
  <si>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</si>
  <si>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</si>
  <si>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</si>
  <si>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</si>
  <si>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</si>
  <si>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</si>
  <si>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</si>
  <si>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</si>
  <si>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</si>
  <si>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</si>
  <si>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</si>
  <si>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</si>
  <si>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</si>
  <si>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</si>
  <si>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</si>
  <si>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</si>
  <si>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</si>
  <si>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</si>
  <si>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</si>
  <si>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</si>
  <si>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</si>
  <si>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</si>
  <si>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</si>
  <si>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</si>
  <si>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</si>
  <si>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</si>
  <si>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</si>
  <si>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</si>
  <si>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</si>
  <si>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</si>
  <si>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</si>
  <si>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</si>
  <si>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</si>
  <si>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</si>
  <si>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</si>
  <si>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</si>
  <si>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</si>
  <si>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</si>
  <si>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</si>
  <si>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</si>
  <si>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</si>
  <si>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</si>
  <si>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</si>
  <si>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</si>
  <si>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</si>
  <si>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</si>
  <si>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</si>
  <si>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</si>
  <si>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</si>
  <si>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</si>
  <si>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</si>
  <si>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</si>
  <si>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</si>
  <si>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</si>
  <si>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</si>
  <si>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</si>
  <si>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</si>
  <si>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</si>
  <si>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</si>
  <si>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</si>
  <si>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</si>
  <si>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</si>
  <si>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</si>
  <si>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</si>
  <si>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</si>
  <si>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</si>
  <si>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</si>
  <si>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</si>
  <si>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</si>
  <si>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</si>
  <si>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</si>
  <si>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</si>
  <si>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</si>
  <si>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</si>
  <si>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</si>
  <si>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</si>
  <si>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</si>
  <si>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</si>
  <si>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</si>
  <si>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</si>
  <si>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</si>
  <si>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</si>
  <si>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</si>
  <si>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</si>
  <si>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</si>
  <si>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</si>
  <si>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</si>
  <si>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</si>
  <si>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</si>
  <si>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</si>
  <si>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</si>
  <si>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</si>
  <si>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</si>
  <si>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</si>
  <si>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</si>
  <si>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</si>
  <si>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</si>
  <si>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</si>
  <si>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</si>
  <si>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</si>
  <si>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</si>
  <si>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</si>
  <si>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</si>
  <si>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</si>
  <si>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</si>
  <si>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</si>
  <si>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</si>
  <si>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</si>
  <si>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</si>
  <si>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</si>
  <si>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</si>
  <si>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</si>
  <si>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</si>
  <si>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</si>
  <si>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</si>
  <si>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</si>
  <si>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</si>
  <si>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</si>
  <si>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</si>
  <si>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</si>
  <si>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</si>
  <si>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</si>
  <si>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</si>
  <si>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</si>
  <si>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</si>
  <si>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</si>
  <si>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</si>
  <si>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</si>
  <si>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</si>
  <si>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</si>
  <si>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</si>
  <si>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</si>
  <si>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</si>
  <si>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</si>
  <si>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</si>
  <si>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</si>
  <si>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</si>
  <si>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</si>
  <si>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</si>
  <si>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</si>
  <si>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</si>
  <si>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</si>
  <si>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</si>
  <si>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</si>
  <si>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</si>
  <si>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</si>
  <si>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</si>
  <si>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</si>
  <si>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</si>
  <si>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</si>
  <si>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</si>
  <si>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</si>
  <si>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</si>
  <si>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</si>
  <si>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</si>
  <si>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</si>
  <si>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</si>
  <si>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</si>
  <si>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</si>
  <si>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</si>
  <si>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</si>
  <si>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</si>
  <si>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</si>
  <si>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</si>
  <si>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</si>
  <si>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</si>
  <si>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</si>
  <si>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</si>
  <si>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</si>
  <si>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</si>
  <si>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</si>
  <si>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</si>
  <si>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</si>
  <si>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</si>
  <si>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</si>
  <si>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</si>
  <si>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</si>
  <si>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</si>
  <si>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</si>
  <si>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</si>
  <si>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</si>
  <si>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</si>
  <si>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</si>
  <si>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</si>
  <si>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</si>
  <si>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</si>
  <si>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</si>
  <si>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</si>
  <si>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</si>
  <si>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</si>
  <si>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</si>
  <si>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</si>
  <si>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</si>
  <si>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</si>
  <si>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</si>
  <si>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</si>
  <si>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</si>
  <si>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</si>
  <si>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</si>
  <si>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</si>
  <si>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</si>
  <si>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</si>
  <si>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</si>
  <si>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</si>
  <si>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</si>
  <si>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</si>
  <si>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</si>
  <si>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</si>
  <si>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</si>
  <si>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</si>
  <si>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</si>
  <si>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</si>
  <si>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</si>
  <si>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</si>
  <si>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</si>
  <si>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</si>
  <si>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</si>
  <si>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</si>
  <si>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</si>
  <si>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</si>
  <si>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</si>
  <si>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</si>
  <si>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</si>
  <si>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</si>
  <si>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</si>
  <si>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</si>
  <si>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</si>
  <si>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</si>
  <si>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</si>
  <si>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</si>
  <si>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</si>
  <si>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</si>
  <si>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</si>
  <si>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</si>
  <si>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</si>
  <si>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</si>
  <si>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</si>
  <si>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</si>
  <si>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</si>
  <si>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</si>
  <si>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</si>
  <si>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</si>
  <si>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</si>
  <si>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</si>
  <si>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</si>
  <si>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</si>
  <si>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</si>
  <si>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</si>
  <si>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</si>
  <si>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</si>
  <si>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</si>
  <si>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</si>
  <si>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</si>
  <si>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</si>
  <si>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</si>
  <si>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</si>
  <si>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</si>
  <si>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</si>
  <si>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</si>
  <si>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</si>
  <si>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</si>
  <si>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</si>
  <si>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</si>
  <si>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</si>
  <si>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</si>
  <si>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</si>
  <si>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</si>
  <si>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</si>
  <si>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</si>
  <si>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</si>
  <si>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</si>
  <si>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</si>
  <si>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</si>
  <si>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</si>
  <si>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</si>
  <si>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</si>
  <si>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</si>
  <si>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</si>
  <si>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</si>
  <si>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</si>
  <si>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</si>
  <si>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</si>
  <si>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</si>
  <si>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</si>
  <si>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</si>
  <si>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</si>
  <si>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</si>
  <si>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</si>
  <si>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</si>
  <si>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</si>
  <si>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</si>
  <si>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</si>
  <si>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</si>
  <si>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</si>
  <si>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</si>
  <si>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</si>
  <si>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</si>
  <si>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</si>
  <si>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</si>
  <si>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</si>
  <si>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</si>
  <si>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</si>
  <si>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</si>
  <si>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</si>
  <si>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</si>
  <si>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</si>
  <si>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</si>
  <si>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</si>
  <si>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</si>
  <si>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</si>
  <si>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</si>
  <si>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</si>
  <si>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</si>
  <si>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</si>
  <si>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</si>
  <si>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</si>
  <si>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</si>
  <si>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</si>
  <si>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</si>
  <si>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</si>
  <si>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</si>
  <si>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</si>
  <si>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</si>
  <si>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</si>
  <si>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</si>
  <si>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</si>
  <si>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</si>
  <si>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</si>
  <si>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</si>
  <si>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</si>
  <si>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</si>
  <si>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</si>
  <si>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</si>
  <si>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</si>
  <si>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</si>
  <si>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</si>
  <si>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</si>
  <si>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</si>
  <si>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</si>
  <si>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</si>
  <si>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</si>
  <si>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</si>
  <si>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</si>
  <si>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</si>
  <si>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</si>
  <si>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</si>
  <si>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</si>
  <si>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</si>
  <si>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</si>
  <si>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</si>
  <si>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</si>
  <si>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</si>
  <si>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</si>
  <si>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</si>
  <si>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</si>
  <si>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Challenge Electronics</t>
  </si>
  <si>
    <t>All products supplied by Challenge Electronics, to the best of our knowledge, conform to the following.</t>
  </si>
  <si>
    <t>15-7725524</t>
  </si>
  <si>
    <t>Dun &amp; Bradstreet</t>
  </si>
  <si>
    <t>95 East Jefryn Blvd; Deer Park, NY 11729</t>
  </si>
  <si>
    <t>Joshua Klyman</t>
  </si>
  <si>
    <t>jklyman@challelec.com</t>
  </si>
  <si>
    <t>16315952217</t>
  </si>
  <si>
    <t>Engineering Director</t>
  </si>
  <si>
    <t>100%</t>
  </si>
  <si>
    <t>https://challengeelectronics.com/engineering/quality-management/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</si>
</sst>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klyman@challelec.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challengeelectronics.com/engineering/quality-management/" TargetMode="External"/><Relationship Id="rId4" Type="http://schemas.openxmlformats.org/officeDocument/2006/relationships/hyperlink" Target="mailto:jklyman@challelec.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75">
      <c r="A4" s="302"/>
      <c r="B4" s="30" t="s">
        <v>820</v>
      </c>
      <c r="C4" s="6"/>
      <c r="D4" s="177"/>
      <c r="E4" s="3"/>
      <c r="F4" s="6"/>
      <c r="G4" s="25"/>
    </row>
    <row r="5" spans="1:7">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33.75">
      <c r="A13" s="302"/>
      <c r="B13" s="2">
        <v>1</v>
      </c>
      <c r="C13" s="27" t="s">
        <v>1057</v>
      </c>
      <c r="D13" s="28" t="s">
        <v>847</v>
      </c>
      <c r="E13" s="163" t="s">
        <v>824</v>
      </c>
      <c r="F13" s="163"/>
      <c r="G13" s="25"/>
    </row>
    <row r="14" spans="1:7" ht="33.75">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45" customHeight="1">
      <c r="A29" s="302"/>
      <c r="B29" s="315"/>
      <c r="C29" s="309"/>
      <c r="D29" s="312"/>
      <c r="E29" s="300"/>
      <c r="F29" s="165" t="s">
        <v>57</v>
      </c>
      <c r="G29" s="25"/>
    </row>
    <row r="30" spans="1:7" ht="62.4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45"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26.75">
      <c r="A36" s="302"/>
      <c r="B36" s="316"/>
      <c r="C36" s="310"/>
      <c r="D36" s="313"/>
      <c r="E36" s="301"/>
      <c r="F36" s="166" t="s">
        <v>65</v>
      </c>
      <c r="G36" s="25"/>
    </row>
    <row r="37" spans="1:7" ht="112.5">
      <c r="A37" s="302"/>
      <c r="B37" s="141">
        <v>3.01</v>
      </c>
      <c r="C37" s="142" t="s">
        <v>66</v>
      </c>
      <c r="D37" s="28" t="s">
        <v>2203</v>
      </c>
      <c r="E37" s="167" t="s">
        <v>1294</v>
      </c>
      <c r="F37" s="168" t="s">
        <v>1396</v>
      </c>
      <c r="G37" s="25"/>
    </row>
    <row r="38" spans="1:7" ht="101.25">
      <c r="A38" s="302"/>
      <c r="B38" s="141">
        <v>3.02</v>
      </c>
      <c r="C38" s="142" t="s">
        <v>1326</v>
      </c>
      <c r="D38" s="28" t="s">
        <v>2204</v>
      </c>
      <c r="E38" s="167" t="s">
        <v>1341</v>
      </c>
      <c r="F38" s="168" t="s">
        <v>1397</v>
      </c>
      <c r="G38" s="25"/>
    </row>
    <row r="39" spans="1:7" ht="101.25">
      <c r="A39" s="302"/>
      <c r="B39" s="150">
        <v>4</v>
      </c>
      <c r="C39" s="149" t="s">
        <v>1492</v>
      </c>
      <c r="D39" s="28" t="s">
        <v>2205</v>
      </c>
      <c r="E39" s="27" t="s">
        <v>2151</v>
      </c>
      <c r="F39" s="27" t="s">
        <v>1493</v>
      </c>
      <c r="G39" s="25"/>
    </row>
    <row r="40" spans="1:7" ht="56.25">
      <c r="A40" s="302"/>
      <c r="B40" s="141">
        <v>4.01</v>
      </c>
      <c r="C40" s="149" t="s">
        <v>1492</v>
      </c>
      <c r="D40" s="28" t="s">
        <v>2207</v>
      </c>
      <c r="E40" s="27" t="s">
        <v>2163</v>
      </c>
      <c r="F40" s="27" t="s">
        <v>2167</v>
      </c>
      <c r="G40" s="25"/>
    </row>
    <row r="41" spans="1:7" ht="56.25">
      <c r="A41" s="302"/>
      <c r="B41" s="141" t="s">
        <v>2194</v>
      </c>
      <c r="C41" s="149" t="s">
        <v>1492</v>
      </c>
      <c r="D41" s="28" t="s">
        <v>2206</v>
      </c>
      <c r="E41" s="27" t="s">
        <v>2197</v>
      </c>
      <c r="F41" s="27" t="s">
        <v>2195</v>
      </c>
      <c r="G41" s="25"/>
    </row>
    <row r="42" spans="1:7" ht="56.25">
      <c r="A42" s="302"/>
      <c r="B42" s="141" t="s">
        <v>2228</v>
      </c>
      <c r="C42" s="149" t="s">
        <v>1492</v>
      </c>
      <c r="D42" s="28" t="s">
        <v>2233</v>
      </c>
      <c r="E42" s="27" t="s">
        <v>2196</v>
      </c>
      <c r="F42" s="27" t="s">
        <v>2229</v>
      </c>
      <c r="G42" s="25"/>
    </row>
    <row r="43" spans="1:7" ht="123.75">
      <c r="A43" s="302"/>
      <c r="B43" s="160">
        <v>4.0999999999999996</v>
      </c>
      <c r="C43" s="149" t="s">
        <v>2232</v>
      </c>
      <c r="D43" s="161">
        <v>42867</v>
      </c>
      <c r="E43" s="169" t="s">
        <v>2235</v>
      </c>
      <c r="F43" s="27" t="s">
        <v>2234</v>
      </c>
      <c r="G43" s="25"/>
    </row>
    <row r="44" spans="1:7" ht="78.75">
      <c r="A44" s="302"/>
      <c r="B44" s="160">
        <v>4.2</v>
      </c>
      <c r="C44" s="149" t="s">
        <v>2232</v>
      </c>
      <c r="D44" s="161">
        <v>42704</v>
      </c>
      <c r="E44" s="169" t="s">
        <v>2431</v>
      </c>
      <c r="F44" s="27" t="s">
        <v>2406</v>
      </c>
      <c r="G44" s="25"/>
    </row>
    <row r="45" spans="1:7" ht="157.5">
      <c r="A45" s="302"/>
      <c r="B45" s="202">
        <v>5</v>
      </c>
      <c r="C45" s="149" t="s">
        <v>2232</v>
      </c>
      <c r="D45" s="161">
        <v>42867</v>
      </c>
      <c r="E45" s="169" t="s">
        <v>12652</v>
      </c>
      <c r="F45" s="27" t="s">
        <v>12374</v>
      </c>
      <c r="G45" s="25"/>
    </row>
    <row r="46" spans="1:7" ht="45">
      <c r="A46" s="302"/>
      <c r="B46" s="160">
        <v>5.01</v>
      </c>
      <c r="C46" s="149" t="s">
        <v>2232</v>
      </c>
      <c r="D46" s="161">
        <v>42907</v>
      </c>
      <c r="E46" s="169" t="s">
        <v>15329</v>
      </c>
      <c r="F46" s="27" t="s">
        <v>12374</v>
      </c>
      <c r="G46" s="25"/>
    </row>
    <row r="47" spans="1:7" ht="67.5">
      <c r="A47" s="302"/>
      <c r="B47" s="160">
        <v>5.0999999999999996</v>
      </c>
      <c r="C47" s="149" t="s">
        <v>2232</v>
      </c>
      <c r="D47" s="161">
        <v>43070</v>
      </c>
      <c r="E47" s="169" t="s">
        <v>12862</v>
      </c>
      <c r="F47" s="27" t="s">
        <v>12863</v>
      </c>
      <c r="G47" s="25"/>
    </row>
    <row r="48" spans="1:7" ht="56.25">
      <c r="A48" s="302"/>
      <c r="B48" s="160">
        <v>5.1100000000000003</v>
      </c>
      <c r="C48" s="149" t="s">
        <v>13097</v>
      </c>
      <c r="D48" s="161">
        <v>43217</v>
      </c>
      <c r="E48" s="169" t="s">
        <v>13199</v>
      </c>
      <c r="F48" s="27" t="s">
        <v>13124</v>
      </c>
      <c r="G48" s="25"/>
    </row>
    <row r="49" spans="1:7" ht="56.25">
      <c r="A49" s="302"/>
      <c r="B49" s="160">
        <v>5.12</v>
      </c>
      <c r="C49" s="149" t="s">
        <v>13097</v>
      </c>
      <c r="D49" s="161">
        <v>43581</v>
      </c>
      <c r="E49" s="169" t="s">
        <v>13199</v>
      </c>
      <c r="F49" s="27" t="s">
        <v>13741</v>
      </c>
      <c r="G49" s="25"/>
    </row>
    <row r="50" spans="1:7" ht="78.75">
      <c r="A50" s="302"/>
      <c r="B50" s="202">
        <v>6</v>
      </c>
      <c r="C50" s="149" t="s">
        <v>13097</v>
      </c>
      <c r="D50" s="161">
        <v>43964</v>
      </c>
      <c r="E50" s="169" t="s">
        <v>13953</v>
      </c>
      <c r="F50" s="27" t="s">
        <v>13744</v>
      </c>
      <c r="G50" s="25"/>
    </row>
    <row r="51" spans="1:7" ht="45">
      <c r="A51" s="302"/>
      <c r="B51" s="160">
        <v>6.01</v>
      </c>
      <c r="C51" s="149" t="s">
        <v>13097</v>
      </c>
      <c r="D51" s="161">
        <v>43970</v>
      </c>
      <c r="E51" s="169" t="s">
        <v>15330</v>
      </c>
      <c r="F51" s="169" t="s">
        <v>13744</v>
      </c>
      <c r="G51" s="25"/>
    </row>
    <row r="52" spans="1:7" ht="45">
      <c r="A52" s="302"/>
      <c r="B52" s="160">
        <v>6.1</v>
      </c>
      <c r="C52" s="149" t="s">
        <v>13097</v>
      </c>
      <c r="D52" s="161">
        <v>44314</v>
      </c>
      <c r="E52" s="169" t="s">
        <v>15323</v>
      </c>
      <c r="F52" s="169" t="s">
        <v>14913</v>
      </c>
      <c r="G52" s="25"/>
    </row>
    <row r="53" spans="1:7" ht="45">
      <c r="A53" s="302"/>
      <c r="B53" s="160">
        <v>6.2</v>
      </c>
      <c r="C53" s="149" t="s">
        <v>13097</v>
      </c>
      <c r="D53" s="161">
        <v>44678</v>
      </c>
      <c r="E53" s="169" t="s">
        <v>15323</v>
      </c>
      <c r="F53" s="169" t="s">
        <v>15322</v>
      </c>
      <c r="G53" s="25"/>
    </row>
    <row r="54" spans="1:7" ht="45">
      <c r="A54" s="302"/>
      <c r="B54" s="160">
        <v>6.21</v>
      </c>
      <c r="C54" s="149" t="s">
        <v>13097</v>
      </c>
      <c r="D54" s="161">
        <v>44687</v>
      </c>
      <c r="E54" s="169" t="s">
        <v>15331</v>
      </c>
      <c r="F54" s="169" t="s">
        <v>15322</v>
      </c>
      <c r="G54" s="25"/>
    </row>
    <row r="55" spans="1:7" ht="45">
      <c r="A55" s="302"/>
      <c r="B55" s="160">
        <v>6.22</v>
      </c>
      <c r="C55" s="149" t="s">
        <v>13097</v>
      </c>
      <c r="D55" s="275">
        <v>44692</v>
      </c>
      <c r="E55" s="169" t="s">
        <v>15330</v>
      </c>
      <c r="F55" s="169" t="s">
        <v>15322</v>
      </c>
      <c r="G55" s="25"/>
    </row>
    <row r="56" spans="1:7" ht="56.25">
      <c r="A56" s="302"/>
      <c r="B56" s="202">
        <v>6.3</v>
      </c>
      <c r="C56" s="149" t="s">
        <v>13097</v>
      </c>
      <c r="D56" s="275">
        <v>45051</v>
      </c>
      <c r="E56" s="169" t="s">
        <v>15590</v>
      </c>
      <c r="F56" s="169" t="s">
        <v>15371</v>
      </c>
      <c r="G56" s="25"/>
    </row>
    <row r="57" spans="1:7" ht="45">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450000000000003" customHeight="1">
      <c r="A59" s="302"/>
      <c r="B59" s="202">
        <v>6.5</v>
      </c>
      <c r="C59" s="149" t="s">
        <v>13097</v>
      </c>
      <c r="D59" s="275">
        <v>45772</v>
      </c>
      <c r="E59" s="169" t="s">
        <v>15669</v>
      </c>
      <c r="F59" s="169" t="s">
        <v>15720</v>
      </c>
      <c r="G59" s="25"/>
    </row>
    <row r="60" spans="1:7" ht="13.5" thickBot="1">
      <c r="A60" s="303"/>
      <c r="B60" s="304" t="str">
        <f ca="1">OFFSET(L!$C$1,MATCH("General"&amp;"Cpy",L!$A:$A,0)-1,SL,,)</f>
        <v>© 2025 Responsible Minerals Initiative. All rights reserved.</v>
      </c>
      <c r="C60" s="304"/>
      <c r="D60" s="304"/>
      <c r="E60" s="304"/>
      <c r="F60" s="304"/>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8"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58" zoomScalePageLayoutView="70" workbookViewId="0">
      <selection activeCell="AC76" sqref="AC7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t="s">
        <v>15818</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15819</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15820</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15821</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15823</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15824</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15823</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15824</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45789</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15826</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15826</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15827</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Yes</v>
      </c>
    </row>
    <row r="101" spans="2:7" ht="15.75" hidden="1">
      <c r="B101" s="236" t="s">
        <v>2433</v>
      </c>
      <c r="D101" s="282" t="str">
        <f>IF(AND(OR($D$27="Yes",$D$27=""),OR($D$33="Yes",$D$33="")),"Unknown","")</f>
        <v>Unknown</v>
      </c>
      <c r="E101" s="282" t="str">
        <f>IF(AND(OR($D$26="Yes",$D$26=""),OR($D$32="Yes",$D$32="")),"None","")</f>
        <v/>
      </c>
      <c r="G101" s="282" t="str">
        <f>IF(OR($D$28="Yes",$D$28=""),"No","")</f>
        <v>No</v>
      </c>
    </row>
    <row r="102" spans="2:7" ht="15.75" hidden="1">
      <c r="B102" s="236" t="s">
        <v>2434</v>
      </c>
      <c r="D102" s="282" t="str">
        <f>IF(AND(OR($D$28="Yes",$D$28=""),OR($D$34="Yes",$D$34="")),"Yes","")</f>
        <v>Yes</v>
      </c>
      <c r="E102" s="282" t="str">
        <f>IF(AND(OR($D$27="Yes",$D$27=""),OR($D$33="Yes",$D$33="")),"100%","")</f>
        <v>100%</v>
      </c>
      <c r="G102" s="282" t="str">
        <f>IF(OR($D$29="Yes",$D$29=""),"Yes","")</f>
        <v/>
      </c>
    </row>
    <row r="103" spans="2:7" ht="15.75" hidden="1">
      <c r="B103" s="236" t="s">
        <v>2435</v>
      </c>
      <c r="D103" s="282" t="str">
        <f>IF(AND(OR($D$28="Yes",$D$28=""),OR($D$34="Yes",$D$34="")),"No","")</f>
        <v>No</v>
      </c>
      <c r="E103" s="282" t="str">
        <f>IF(AND(OR($D$27="Yes",$D$27=""),OR($D$33="Yes",$D$33="")),"Greater than 90%","")</f>
        <v>Greater than 90%</v>
      </c>
      <c r="G103" s="282" t="str">
        <f>IF(OR($D$29="Yes",$D$29=""),"No","")</f>
        <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A98B91B-3D2B-495F-AA12-93062CE9B942}"/>
    <hyperlink ref="D20" r:id="rId4" xr:uid="{CA133964-FA2F-4D71-BC36-E8A7E5C15D5A}"/>
    <hyperlink ref="G77" r:id="rId5" xr:uid="{B0871ACF-F33E-49DB-BA87-378336BF5C5D}"/>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zoomScaleNormal="100" zoomScalePageLayoutView="55" workbookViewId="0">
      <selection activeCell="C19" sqref="C19"/>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c r="B5" s="182" t="s">
        <v>1099</v>
      </c>
      <c r="C5" s="186" t="s">
        <v>2294</v>
      </c>
      <c r="D5" s="230"/>
      <c r="E5" s="182" t="str">
        <f ca="1">IF(ISERROR($V5),"",OFFSET('Smelter Look-up'!$D$4,$V5-4,0)&amp;"")</f>
        <v>CHINA</v>
      </c>
      <c r="F5" s="182" t="str">
        <f ca="1">IF(ISERROR($V5),"",OFFSET('Smelter Look-up'!$E$4,$V5-4,0))</f>
        <v>CID002180</v>
      </c>
      <c r="G5" s="182" t="str">
        <f ca="1">IF(C5=$X$4,IF(ISERROR($V5),"Enter smelter details","RMI"),IF(ISERROR($V5),"",OFFSET('Smelter Look-up'!$F$4,$V5-4,0)))</f>
        <v>RMI</v>
      </c>
      <c r="H5" s="183">
        <f ca="1">IF(ISERROR($V5),"",OFFSET('Smelter Look-up'!$G$4,$V5-4,0))</f>
        <v>0</v>
      </c>
      <c r="I5" s="184" t="str">
        <f ca="1">IF(ISERROR($V5),"",OFFSET('Smelter Look-up'!$H$4,$V5-4,0))</f>
        <v>Gejiu</v>
      </c>
      <c r="J5" s="184" t="str">
        <f ca="1">IF(ISERROR($V5),"",OFFSET('Smelter Look-up'!$I$4,$V5-4,0))</f>
        <v>Yunnan Sheng</v>
      </c>
      <c r="K5" s="224"/>
      <c r="L5" s="224"/>
      <c r="M5" s="224"/>
      <c r="N5" s="224"/>
      <c r="O5" s="224"/>
      <c r="P5" s="185"/>
      <c r="Q5" s="225"/>
      <c r="R5" s="182" t="str">
        <f ca="1">IF(ISERROR($V5),"",OFFSET('Smelter Look-up'!$C$4,$V5-4,0)&amp;"")</f>
        <v>Tin Smelting Branch of Yunnan Tin Co., Ltd.</v>
      </c>
      <c r="S5" s="181" t="str">
        <f ca="1">IF(B5="","",IF(ISERROR(MATCH($E5,CL,0)),"Unknown",INDIRECT("'C'!$A$"&amp;MATCH($E5,CL,0)+1)))</f>
        <v>CN</v>
      </c>
      <c r="T5" s="181" t="str">
        <f ca="1">IF(B5="","",IF(ISERROR(MATCH($J5,SorP!$B$1:$B$6226,0)),"",INDIRECT("'SorP'!$A$"&amp;MATCH($S5&amp;$J5,SorP!C:C,0))))</f>
        <v>CN-YN</v>
      </c>
      <c r="U5" s="201"/>
      <c r="V5" s="226">
        <f>IF(C5="",NA(),IF(OR(C5="Smelter not listed",C5="Smelter not yet identified"),MATCH($B5&amp;$D5,'Smelter Look-up'!$J:$J,0),MATCH($B5&amp;$C5,'Smelter Look-up'!$J:$J,0)))</f>
        <v>543</v>
      </c>
      <c r="X5" s="227">
        <f t="shared" ref="X5" ca="1" si="0">IF(AND(C5="Smelter not listed",OR(LEN(D5)=0,LEN(E5)=0)),1,0)</f>
        <v>0</v>
      </c>
      <c r="AB5" s="228" t="str">
        <f t="shared" ref="AB5" si="1">B5&amp;C5</f>
        <v>TinYunnan Tin Company Limited</v>
      </c>
    </row>
    <row r="6" spans="1:34" s="227" customFormat="1" ht="20.100000000000001" customHeight="1">
      <c r="A6" s="262"/>
      <c r="B6" s="182" t="s">
        <v>1099</v>
      </c>
      <c r="C6" s="186" t="s">
        <v>15311</v>
      </c>
      <c r="D6" s="230"/>
      <c r="E6" s="182" t="str">
        <f ca="1">IF(ISERROR($V6),"",OFFSET('Smelter Look-up'!$D$4,$V6-4,0)&amp;"")</f>
        <v>CHINA</v>
      </c>
      <c r="F6" s="182" t="str">
        <f ca="1">IF(ISERROR($V6),"",OFFSET('Smelter Look-up'!$E$4,$V6-4,0))</f>
        <v>CID002180</v>
      </c>
      <c r="G6" s="182" t="str">
        <f ca="1">IF(C6=$X$4,IF(ISERROR($V6),"Enter smelter details","RMI"),IF(ISERROR($V6),"",OFFSET('Smelter Look-up'!$F$4,$V6-4,0)))</f>
        <v>RMI</v>
      </c>
      <c r="H6" s="183">
        <f ca="1">IF(ISERROR($V6),"",OFFSET('Smelter Look-up'!$G$4,$V6-4,0))</f>
        <v>0</v>
      </c>
      <c r="I6" s="184" t="str">
        <f ca="1">IF(ISERROR($V6),"",OFFSET('Smelter Look-up'!$H$4,$V6-4,0))</f>
        <v>Gejiu</v>
      </c>
      <c r="J6" s="184" t="str">
        <f ca="1">IF(ISERROR($V6),"",OFFSET('Smelter Look-up'!$I$4,$V6-4,0))</f>
        <v>Yunnan Sheng</v>
      </c>
      <c r="K6" s="224"/>
      <c r="L6" s="224"/>
      <c r="M6" s="224"/>
      <c r="N6" s="224"/>
      <c r="O6" s="224"/>
      <c r="P6" s="185"/>
      <c r="Q6" s="225"/>
      <c r="R6" s="182" t="str">
        <f ca="1">IF(ISERROR($V6),"",OFFSET('Smelter Look-up'!$C$4,$V6-4,0)&amp;"")</f>
        <v>Tin Smelting Branch of Yunnan Tin Co., Ltd.</v>
      </c>
      <c r="S6" s="181" t="str">
        <f t="shared" ref="S6:S37" ca="1" si="2">IF(B6="","",IF(ISERROR(MATCH($E6,CL,0)),"Unknown",INDIRECT("'C'!$A$"&amp;MATCH($E6,CL,0)+1)))</f>
        <v>CN</v>
      </c>
      <c r="T6" s="181" t="str">
        <f ca="1">IF(B6="","",IF(ISERROR(MATCH($J6,SorP!$B$1:$B$6226,0)),"",INDIRECT("'SorP'!$A$"&amp;MATCH($S6&amp;$J6,SorP!C:C,0))))</f>
        <v>CN-YN</v>
      </c>
      <c r="U6" s="201"/>
      <c r="V6" s="226">
        <f>IF(C6="",NA(),IF(OR(C6="Smelter not listed",C6="Smelter not yet identified"),MATCH($B6&amp;$D6,'Smelter Look-up'!$J:$J,0),MATCH($B6&amp;$C6,'Smelter Look-up'!$J:$J,0)))</f>
        <v>550</v>
      </c>
      <c r="X6" s="227">
        <f t="shared" ref="X6:X37" ca="1" si="3">IF(AND(C6="Smelter not listed",OR(LEN(D6)=0,LEN(E6)=0)),1,0)</f>
        <v>0</v>
      </c>
      <c r="AB6" s="228" t="str">
        <f t="shared" ref="AB6:AB37" si="4">B6&amp;C6</f>
        <v>Tin云南锡业股份有限公司锡业分公司</v>
      </c>
    </row>
    <row r="7" spans="1:34" s="227" customFormat="1" ht="20.100000000000001" customHeight="1">
      <c r="A7" s="262"/>
      <c r="B7" s="182" t="s">
        <v>1099</v>
      </c>
      <c r="C7" s="186" t="s">
        <v>2480</v>
      </c>
      <c r="D7" s="230"/>
      <c r="E7" s="182" t="str">
        <f ca="1">IF(ISERROR($V7),"",OFFSET('Smelter Look-up'!$D$4,$V7-4,0)&amp;"")</f>
        <v>CHINA</v>
      </c>
      <c r="F7" s="182" t="str">
        <f ca="1">IF(ISERROR($V7),"",OFFSET('Smelter Look-up'!$E$4,$V7-4,0))</f>
        <v>CID003116</v>
      </c>
      <c r="G7" s="182" t="str">
        <f ca="1">IF(C7=$X$4,IF(ISERROR($V7),"Enter smelter details","RMI"),IF(ISERROR($V7),"",OFFSET('Smelter Look-up'!$F$4,$V7-4,0)))</f>
        <v>RMI</v>
      </c>
      <c r="H7" s="183">
        <f ca="1">IF(ISERROR($V7),"",OFFSET('Smelter Look-up'!$G$4,$V7-4,0))</f>
        <v>0</v>
      </c>
      <c r="I7" s="184" t="str">
        <f ca="1">IF(ISERROR($V7),"",OFFSET('Smelter Look-up'!$H$4,$V7-4,0))</f>
        <v>Chaozhou</v>
      </c>
      <c r="J7" s="184" t="str">
        <f ca="1">IF(ISERROR($V7),"",OFFSET('Smelter Look-up'!$I$4,$V7-4,0))</f>
        <v>Guangdong Sheng</v>
      </c>
      <c r="K7" s="224"/>
      <c r="L7" s="224"/>
      <c r="M7" s="224"/>
      <c r="N7" s="224"/>
      <c r="O7" s="224"/>
      <c r="P7" s="185"/>
      <c r="Q7" s="225"/>
      <c r="R7" s="182" t="str">
        <f ca="1">IF(ISERROR($V7),"",OFFSET('Smelter Look-up'!$C$4,$V7-4,0)&amp;"")</f>
        <v>Guangdong Hanhe Non-Ferrous Metal Co., Ltd.</v>
      </c>
      <c r="S7" s="181" t="str">
        <f t="shared" ca="1" si="2"/>
        <v>CN</v>
      </c>
      <c r="T7" s="181" t="str">
        <f ca="1">IF(B7="","",IF(ISERROR(MATCH($J7,SorP!$B$1:$B$6226,0)),"",INDIRECT("'SorP'!$A$"&amp;MATCH($S7&amp;$J7,SorP!C:C,0))))</f>
        <v>CN-GD</v>
      </c>
      <c r="U7" s="201"/>
      <c r="V7" s="226">
        <f>IF(C7="",NA(),IF(OR(C7="Smelter not listed",C7="Smelter not yet identified"),MATCH($B7&amp;$D7,'Smelter Look-up'!$J:$J,0),MATCH($B7&amp;$C7,'Smelter Look-up'!$J:$J,0)))</f>
        <v>450</v>
      </c>
      <c r="X7" s="227">
        <f t="shared" ca="1" si="3"/>
        <v>0</v>
      </c>
      <c r="AB7" s="228" t="str">
        <f t="shared" si="4"/>
        <v>TinGuangdong Hanhe Non-Ferrous Metal Co., Ltd.</v>
      </c>
    </row>
    <row r="8" spans="1:34" s="227" customFormat="1" ht="20.100000000000001" customHeight="1">
      <c r="A8" s="262"/>
      <c r="B8" s="182" t="s">
        <v>1099</v>
      </c>
      <c r="C8" s="186" t="s">
        <v>13713</v>
      </c>
      <c r="D8" s="230"/>
      <c r="E8" s="182" t="str">
        <f ca="1">IF(ISERROR($V8),"",OFFSET('Smelter Look-up'!$D$4,$V8-4,0)&amp;"")</f>
        <v>INDONESIA</v>
      </c>
      <c r="F8" s="182" t="str">
        <f ca="1">IF(ISERROR($V8),"",OFFSET('Smelter Look-up'!$E$4,$V8-4,0))</f>
        <v>CID001482</v>
      </c>
      <c r="G8" s="182" t="str">
        <f ca="1">IF(C8=$X$4,IF(ISERROR($V8),"Enter smelter details","RMI"),IF(ISERROR($V8),"",OFFSET('Smelter Look-up'!$F$4,$V8-4,0)))</f>
        <v>RMI</v>
      </c>
      <c r="H8" s="183">
        <f ca="1">IF(ISERROR($V8),"",OFFSET('Smelter Look-up'!$G$4,$V8-4,0))</f>
        <v>0</v>
      </c>
      <c r="I8" s="184" t="str">
        <f ca="1">IF(ISERROR($V8),"",OFFSET('Smelter Look-up'!$H$4,$V8-4,0))</f>
        <v>Mentok</v>
      </c>
      <c r="J8" s="184" t="str">
        <f ca="1">IF(ISERROR($V8),"",OFFSET('Smelter Look-up'!$I$4,$V8-4,0))</f>
        <v>Kepulauan Bangka Belitung</v>
      </c>
      <c r="K8" s="224"/>
      <c r="L8" s="224"/>
      <c r="M8" s="224"/>
      <c r="N8" s="224"/>
      <c r="O8" s="224"/>
      <c r="P8" s="185"/>
      <c r="Q8" s="225"/>
      <c r="R8" s="182" t="str">
        <f ca="1">IF(ISERROR($V8),"",OFFSET('Smelter Look-up'!$C$4,$V8-4,0)&amp;"")</f>
        <v>PT Timah Tbk Mentok</v>
      </c>
      <c r="S8" s="181" t="str">
        <f t="shared" ca="1" si="2"/>
        <v>ID</v>
      </c>
      <c r="T8" s="181" t="str">
        <f ca="1">IF(B8="","",IF(ISERROR(MATCH($J8,SorP!$B$1:$B$6226,0)),"",INDIRECT("'SorP'!$A$"&amp;MATCH($S8&amp;$J8,SorP!C:C,0))))</f>
        <v>ID-BB</v>
      </c>
      <c r="U8" s="201"/>
      <c r="V8" s="226">
        <f>IF(C8="",NA(),IF(OR(C8="Smelter not listed",C8="Smelter not yet identified"),MATCH($B8&amp;$D8,'Smelter Look-up'!$J:$J,0),MATCH($B8&amp;$C8,'Smelter Look-up'!$J:$J,0)))</f>
        <v>510</v>
      </c>
      <c r="X8" s="227">
        <f t="shared" ca="1" si="3"/>
        <v>0</v>
      </c>
      <c r="AB8" s="228" t="str">
        <f t="shared" si="4"/>
        <v>TinPT Timah Tbk Mentok</v>
      </c>
    </row>
    <row r="9" spans="1:34" s="227" customFormat="1" ht="20.100000000000001" customHeight="1">
      <c r="A9" s="262"/>
      <c r="B9" s="182" t="s">
        <v>1099</v>
      </c>
      <c r="C9" s="186" t="s">
        <v>2262</v>
      </c>
      <c r="D9" s="230"/>
      <c r="E9" s="182" t="str">
        <f ca="1">IF(ISERROR($V9),"",OFFSET('Smelter Look-up'!$D$4,$V9-4,0)&amp;"")</f>
        <v>MALAYSIA</v>
      </c>
      <c r="F9" s="182" t="str">
        <f ca="1">IF(ISERROR($V9),"",OFFSET('Smelter Look-up'!$E$4,$V9-4,0))</f>
        <v>CID002858</v>
      </c>
      <c r="G9" s="182" t="str">
        <f ca="1">IF(C9=$X$4,IF(ISERROR($V9),"Enter smelter details","RMI"),IF(ISERROR($V9),"",OFFSET('Smelter Look-up'!$F$4,$V9-4,0)))</f>
        <v>RMI</v>
      </c>
      <c r="H9" s="183">
        <f ca="1">IF(ISERROR($V9),"",OFFSET('Smelter Look-up'!$G$4,$V9-4,0))</f>
        <v>0</v>
      </c>
      <c r="I9" s="184" t="str">
        <f ca="1">IF(ISERROR($V9),"",OFFSET('Smelter Look-up'!$H$4,$V9-4,0))</f>
        <v>Kawasan Perindustrian Bukit Rambai</v>
      </c>
      <c r="J9" s="184" t="str">
        <f ca="1">IF(ISERROR($V9),"",OFFSET('Smelter Look-up'!$I$4,$V9-4,0))</f>
        <v>Melaka</v>
      </c>
      <c r="K9" s="224"/>
      <c r="L9" s="224"/>
      <c r="M9" s="224"/>
      <c r="N9" s="224"/>
      <c r="O9" s="224"/>
      <c r="P9" s="185"/>
      <c r="Q9" s="225"/>
      <c r="R9" s="182" t="str">
        <f ca="1">IF(ISERROR($V9),"",OFFSET('Smelter Look-up'!$C$4,$V9-4,0)&amp;"")</f>
        <v>Modeltech Sdn Bhd</v>
      </c>
      <c r="S9" s="181" t="str">
        <f t="shared" ca="1" si="2"/>
        <v>MY</v>
      </c>
      <c r="T9" s="181" t="str">
        <f ca="1">IF(B9="","",IF(ISERROR(MATCH($J9,SorP!$B$1:$B$6226,0)),"",INDIRECT("'SorP'!$A$"&amp;MATCH($S9&amp;$J9,SorP!C:C,0))))</f>
        <v>MY-04</v>
      </c>
      <c r="U9" s="201"/>
      <c r="V9" s="226">
        <f>IF(C9="",NA(),IF(OR(C9="Smelter not listed",C9="Smelter not yet identified"),MATCH($B9&amp;$D9,'Smelter Look-up'!$J:$J,0),MATCH($B9&amp;$C9,'Smelter Look-up'!$J:$J,0)))</f>
        <v>483</v>
      </c>
      <c r="X9" s="227">
        <f t="shared" ca="1" si="3"/>
        <v>0</v>
      </c>
      <c r="AB9" s="228" t="str">
        <f t="shared" si="4"/>
        <v>TinModeltech Sdn Bhd</v>
      </c>
    </row>
    <row r="10" spans="1:34" s="227" customFormat="1" ht="20.100000000000001" customHeight="1">
      <c r="A10" s="262"/>
      <c r="B10" s="182" t="s">
        <v>1099</v>
      </c>
      <c r="C10" s="186" t="s">
        <v>2181</v>
      </c>
      <c r="D10" s="230"/>
      <c r="E10" s="182" t="str">
        <f ca="1">IF(ISERROR($V10),"",OFFSET('Smelter Look-up'!$D$4,$V10-4,0)&amp;"")</f>
        <v>CHINA</v>
      </c>
      <c r="F10" s="182" t="str">
        <f ca="1">IF(ISERROR($V10),"",OFFSET('Smelter Look-up'!$E$4,$V10-4,0))</f>
        <v>CID001070</v>
      </c>
      <c r="G10" s="182" t="str">
        <f ca="1">IF(C10=$X$4,IF(ISERROR($V10),"Enter smelter details","RMI"),IF(ISERROR($V10),"",OFFSET('Smelter Look-up'!$F$4,$V10-4,0)))</f>
        <v>RMI</v>
      </c>
      <c r="H10" s="183">
        <f ca="1">IF(ISERROR($V10),"",OFFSET('Smelter Look-up'!$G$4,$V10-4,0))</f>
        <v>0</v>
      </c>
      <c r="I10" s="184" t="str">
        <f ca="1">IF(ISERROR($V10),"",OFFSET('Smelter Look-up'!$H$4,$V10-4,0))</f>
        <v>Laibin</v>
      </c>
      <c r="J10" s="184" t="str">
        <f ca="1">IF(ISERROR($V10),"",OFFSET('Smelter Look-up'!$I$4,$V10-4,0))</f>
        <v>Guangxi Zhuangzu Zizhiqu</v>
      </c>
      <c r="K10" s="224"/>
      <c r="L10" s="224"/>
      <c r="M10" s="224"/>
      <c r="N10" s="224"/>
      <c r="O10" s="224"/>
      <c r="P10" s="185"/>
      <c r="Q10" s="225"/>
      <c r="R10" s="182" t="str">
        <f ca="1">IF(ISERROR($V10),"",OFFSET('Smelter Look-up'!$C$4,$V10-4,0)&amp;"")</f>
        <v>China Tin Group Co., Ltd.</v>
      </c>
      <c r="S10" s="181" t="str">
        <f t="shared" ca="1" si="2"/>
        <v>CN</v>
      </c>
      <c r="T10" s="181" t="str">
        <f ca="1">IF(B10="","",IF(ISERROR(MATCH($J10,SorP!$B$1:$B$6226,0)),"",INDIRECT("'SorP'!$A$"&amp;MATCH($S10&amp;$J10,SorP!C:C,0))))</f>
        <v>CN-GX</v>
      </c>
      <c r="U10" s="201"/>
      <c r="V10" s="226">
        <f>IF(C10="",NA(),IF(OR(C10="Smelter not listed",C10="Smelter not yet identified"),MATCH($B10&amp;$D10,'Smelter Look-up'!$J:$J,0),MATCH($B10&amp;$C10,'Smelter Look-up'!$J:$J,0)))</f>
        <v>412</v>
      </c>
      <c r="X10" s="227">
        <f t="shared" ca="1" si="3"/>
        <v>0</v>
      </c>
      <c r="AB10" s="228" t="str">
        <f t="shared" si="4"/>
        <v>TinChina Tin Lai Ben Smelter Co., Ltd.</v>
      </c>
    </row>
    <row r="11" spans="1:34" s="227" customFormat="1" ht="20.100000000000001" customHeight="1">
      <c r="A11" s="262"/>
      <c r="B11" s="182" t="s">
        <v>1099</v>
      </c>
      <c r="C11" s="186" t="s">
        <v>1389</v>
      </c>
      <c r="D11" s="230"/>
      <c r="E11" s="182" t="str">
        <f ca="1">IF(ISERROR($V11),"",OFFSET('Smelter Look-up'!$D$4,$V11-4,0)&amp;"")</f>
        <v>CHINA</v>
      </c>
      <c r="F11" s="182" t="str">
        <f ca="1">IF(ISERROR($V11),"",OFFSET('Smelter Look-up'!$E$4,$V11-4,0))</f>
        <v>CID000942</v>
      </c>
      <c r="G11" s="182" t="str">
        <f ca="1">IF(C11=$X$4,IF(ISERROR($V11),"Enter smelter details","RMI"),IF(ISERROR($V11),"",OFFSET('Smelter Look-up'!$F$4,$V11-4,0)))</f>
        <v>RMI</v>
      </c>
      <c r="H11" s="183">
        <f ca="1">IF(ISERROR($V11),"",OFFSET('Smelter Look-up'!$G$4,$V11-4,0))</f>
        <v>0</v>
      </c>
      <c r="I11" s="184" t="str">
        <f ca="1">IF(ISERROR($V11),"",OFFSET('Smelter Look-up'!$H$4,$V11-4,0))</f>
        <v>Gejiu</v>
      </c>
      <c r="J11" s="184" t="str">
        <f ca="1">IF(ISERROR($V11),"",OFFSET('Smelter Look-up'!$I$4,$V11-4,0))</f>
        <v>Yunnan Sheng</v>
      </c>
      <c r="K11" s="224"/>
      <c r="L11" s="224"/>
      <c r="M11" s="224"/>
      <c r="N11" s="224"/>
      <c r="O11" s="224"/>
      <c r="P11" s="185"/>
      <c r="Q11" s="225"/>
      <c r="R11" s="182" t="str">
        <f ca="1">IF(ISERROR($V11),"",OFFSET('Smelter Look-up'!$C$4,$V11-4,0)&amp;"")</f>
        <v>Gejiu Kai Meng Industry and Trade LLC</v>
      </c>
      <c r="S11" s="181" t="str">
        <f t="shared" ca="1" si="2"/>
        <v>CN</v>
      </c>
      <c r="T11" s="181" t="str">
        <f ca="1">IF(B11="","",IF(ISERROR(MATCH($J11,SorP!$B$1:$B$6226,0)),"",INDIRECT("'SorP'!$A$"&amp;MATCH($S11&amp;$J11,SorP!C:C,0))))</f>
        <v>CN-YN</v>
      </c>
      <c r="U11" s="201"/>
      <c r="V11" s="226">
        <f>IF(C11="",NA(),IF(OR(C11="Smelter not listed",C11="Smelter not yet identified"),MATCH($B11&amp;$D11,'Smelter Look-up'!$J:$J,0),MATCH($B11&amp;$C11,'Smelter Look-up'!$J:$J,0)))</f>
        <v>442</v>
      </c>
      <c r="X11" s="227">
        <f t="shared" ca="1" si="3"/>
        <v>0</v>
      </c>
      <c r="AB11" s="228" t="str">
        <f t="shared" si="4"/>
        <v>TinGejiu Kai Meng Industry and Trade LLC</v>
      </c>
    </row>
    <row r="12" spans="1:34" s="227" customFormat="1" ht="20.100000000000001" customHeight="1">
      <c r="A12" s="262"/>
      <c r="B12" s="182" t="s">
        <v>1099</v>
      </c>
      <c r="C12" s="186" t="s">
        <v>2486</v>
      </c>
      <c r="D12" s="230"/>
      <c r="E12" s="182" t="str">
        <f ca="1">IF(ISERROR($V12),"",OFFSET('Smelter Look-up'!$D$4,$V12-4,0)&amp;"")</f>
        <v>CHINA</v>
      </c>
      <c r="F12" s="182" t="str">
        <f ca="1">IF(ISERROR($V12),"",OFFSET('Smelter Look-up'!$E$4,$V12-4,0))</f>
        <v>CID002180</v>
      </c>
      <c r="G12" s="182" t="str">
        <f ca="1">IF(C12=$X$4,IF(ISERROR($V12),"Enter smelter details","RMI"),IF(ISERROR($V12),"",OFFSET('Smelter Look-up'!$F$4,$V12-4,0)))</f>
        <v>RMI</v>
      </c>
      <c r="H12" s="183">
        <f ca="1">IF(ISERROR($V12),"",OFFSET('Smelter Look-up'!$G$4,$V12-4,0))</f>
        <v>0</v>
      </c>
      <c r="I12" s="184" t="str">
        <f ca="1">IF(ISERROR($V12),"",OFFSET('Smelter Look-up'!$H$4,$V12-4,0))</f>
        <v>Gejiu</v>
      </c>
      <c r="J12" s="184" t="str">
        <f ca="1">IF(ISERROR($V12),"",OFFSET('Smelter Look-up'!$I$4,$V12-4,0))</f>
        <v>Yunnan Sheng</v>
      </c>
      <c r="K12" s="224"/>
      <c r="L12" s="224"/>
      <c r="M12" s="224"/>
      <c r="N12" s="224"/>
      <c r="O12" s="224"/>
      <c r="P12" s="185"/>
      <c r="Q12" s="225"/>
      <c r="R12" s="182" t="str">
        <f ca="1">IF(ISERROR($V12),"",OFFSET('Smelter Look-up'!$C$4,$V12-4,0)&amp;"")</f>
        <v>Tin Smelting Branch of Yunnan Tin Co., Ltd.</v>
      </c>
      <c r="S12" s="181" t="str">
        <f t="shared" ca="1" si="2"/>
        <v>CN</v>
      </c>
      <c r="T12" s="181" t="str">
        <f ca="1">IF(B12="","",IF(ISERROR(MATCH($J12,SorP!$B$1:$B$6226,0)),"",INDIRECT("'SorP'!$A$"&amp;MATCH($S12&amp;$J12,SorP!C:C,0))))</f>
        <v>CN-YN</v>
      </c>
      <c r="U12" s="201"/>
      <c r="V12" s="226">
        <f>IF(C12="",NA(),IF(OR(C12="Smelter not listed",C12="Smelter not yet identified"),MATCH($B12&amp;$D12,'Smelter Look-up'!$J:$J,0),MATCH($B12&amp;$C12,'Smelter Look-up'!$J:$J,0)))</f>
        <v>546</v>
      </c>
      <c r="X12" s="227">
        <f t="shared" ca="1" si="3"/>
        <v>0</v>
      </c>
      <c r="AB12" s="228" t="str">
        <f t="shared" si="4"/>
        <v>TinYunnan Xi YE</v>
      </c>
    </row>
    <row r="13" spans="1:34" s="227" customFormat="1" ht="20.100000000000001" customHeight="1">
      <c r="A13" s="262"/>
      <c r="B13" s="182" t="s">
        <v>1099</v>
      </c>
      <c r="C13" s="186" t="s">
        <v>2179</v>
      </c>
      <c r="D13" s="230"/>
      <c r="E13" s="182" t="str">
        <f ca="1">IF(ISERROR($V13),"",OFFSET('Smelter Look-up'!$D$4,$V13-4,0)&amp;"")</f>
        <v>CHINA</v>
      </c>
      <c r="F13" s="182" t="str">
        <f ca="1">IF(ISERROR($V13),"",OFFSET('Smelter Look-up'!$E$4,$V13-4,0))</f>
        <v>CID002158</v>
      </c>
      <c r="G13" s="182" t="str">
        <f ca="1">IF(C13=$X$4,IF(ISERROR($V13),"Enter smelter details","RMI"),IF(ISERROR($V13),"",OFFSET('Smelter Look-up'!$F$4,$V13-4,0)))</f>
        <v>RMI</v>
      </c>
      <c r="H13" s="183">
        <f ca="1">IF(ISERROR($V13),"",OFFSET('Smelter Look-up'!$G$4,$V13-4,0))</f>
        <v>0</v>
      </c>
      <c r="I13" s="184" t="str">
        <f ca="1">IF(ISERROR($V13),"",OFFSET('Smelter Look-up'!$H$4,$V13-4,0))</f>
        <v>Gejiu</v>
      </c>
      <c r="J13" s="184" t="str">
        <f ca="1">IF(ISERROR($V13),"",OFFSET('Smelter Look-up'!$I$4,$V13-4,0))</f>
        <v>Yunnan Sheng</v>
      </c>
      <c r="K13" s="224"/>
      <c r="L13" s="224"/>
      <c r="M13" s="224"/>
      <c r="N13" s="224"/>
      <c r="O13" s="224"/>
      <c r="P13" s="185"/>
      <c r="Q13" s="225"/>
      <c r="R13" s="182" t="str">
        <f ca="1">IF(ISERROR($V13),"",OFFSET('Smelter Look-up'!$C$4,$V13-4,0)&amp;"")</f>
        <v>Yunnan Chengfeng Non-ferrous Metals Co., Ltd.</v>
      </c>
      <c r="S13" s="181" t="str">
        <f t="shared" ca="1" si="2"/>
        <v>CN</v>
      </c>
      <c r="T13" s="181" t="str">
        <f ca="1">IF(B13="","",IF(ISERROR(MATCH($J13,SorP!$B$1:$B$6226,0)),"",INDIRECT("'SorP'!$A$"&amp;MATCH($S13&amp;$J13,SorP!C:C,0))))</f>
        <v>CN-YN</v>
      </c>
      <c r="U13" s="201"/>
      <c r="V13" s="226">
        <f>IF(C13="",NA(),IF(OR(C13="Smelter not listed",C13="Smelter not yet identified"),MATCH($B13&amp;$D13,'Smelter Look-up'!$J:$J,0),MATCH($B13&amp;$C13,'Smelter Look-up'!$J:$J,0)))</f>
        <v>406</v>
      </c>
      <c r="X13" s="227">
        <f t="shared" ca="1" si="3"/>
        <v>0</v>
      </c>
      <c r="AB13" s="228" t="str">
        <f t="shared" si="4"/>
        <v>TinChengfeng Metals Co Pte Ltd</v>
      </c>
    </row>
    <row r="14" spans="1:34" s="227" customFormat="1" ht="20.100000000000001" customHeight="1">
      <c r="A14" s="262"/>
      <c r="B14" s="182" t="s">
        <v>1099</v>
      </c>
      <c r="C14" s="186" t="s">
        <v>1722</v>
      </c>
      <c r="D14" s="230"/>
      <c r="E14" s="182" t="str">
        <f ca="1">IF(ISERROR($V14),"",OFFSET('Smelter Look-up'!$D$4,$V14-4,0)&amp;"")</f>
        <v>UNITED STATES OF AMERICA</v>
      </c>
      <c r="F14" s="182" t="str">
        <f ca="1">IF(ISERROR($V14),"",OFFSET('Smelter Look-up'!$E$4,$V14-4,0))</f>
        <v>CID000292</v>
      </c>
      <c r="G14" s="182" t="str">
        <f ca="1">IF(C14=$X$4,IF(ISERROR($V14),"Enter smelter details","RMI"),IF(ISERROR($V14),"",OFFSET('Smelter Look-up'!$F$4,$V14-4,0)))</f>
        <v>RMI</v>
      </c>
      <c r="H14" s="183">
        <f ca="1">IF(ISERROR($V14),"",OFFSET('Smelter Look-up'!$G$4,$V14-4,0))</f>
        <v>0</v>
      </c>
      <c r="I14" s="184" t="str">
        <f ca="1">IF(ISERROR($V14),"",OFFSET('Smelter Look-up'!$H$4,$V14-4,0))</f>
        <v>Altoona</v>
      </c>
      <c r="J14" s="184" t="str">
        <f ca="1">IF(ISERROR($V14),"",OFFSET('Smelter Look-up'!$I$4,$V14-4,0))</f>
        <v>Pennsylvania</v>
      </c>
      <c r="K14" s="224"/>
      <c r="L14" s="224"/>
      <c r="M14" s="224"/>
      <c r="N14" s="224"/>
      <c r="O14" s="224"/>
      <c r="P14" s="185"/>
      <c r="Q14" s="225"/>
      <c r="R14" s="182" t="str">
        <f ca="1">IF(ISERROR($V14),"",OFFSET('Smelter Look-up'!$C$4,$V14-4,0)&amp;"")</f>
        <v>Alpha Assembly Solutions Inc</v>
      </c>
      <c r="S14" s="181" t="str">
        <f t="shared" ca="1" si="2"/>
        <v>US</v>
      </c>
      <c r="T14" s="181" t="str">
        <f ca="1">IF(B14="","",IF(ISERROR(MATCH($J14,SorP!$B$1:$B$6226,0)),"",INDIRECT("'SorP'!$A$"&amp;MATCH($S14&amp;$J14,SorP!C:C,0))))</f>
        <v>US-PA</v>
      </c>
      <c r="U14" s="201"/>
      <c r="V14" s="226">
        <f>IF(C14="",NA(),IF(OR(C14="Smelter not listed",C14="Smelter not yet identified"),MATCH($B14&amp;$D14,'Smelter Look-up'!$J:$J,0),MATCH($B14&amp;$C14,'Smelter Look-up'!$J:$J,0)))</f>
        <v>400</v>
      </c>
      <c r="X14" s="227">
        <f t="shared" ca="1" si="3"/>
        <v>0</v>
      </c>
      <c r="AB14" s="228" t="str">
        <f t="shared" si="4"/>
        <v>TinAlpha Metals</v>
      </c>
    </row>
    <row r="15" spans="1:34" s="227" customFormat="1" ht="20.100000000000001" customHeight="1">
      <c r="A15" s="262"/>
      <c r="B15" s="182" t="s">
        <v>1098</v>
      </c>
      <c r="C15" s="186" t="s">
        <v>2095</v>
      </c>
      <c r="D15" s="230"/>
      <c r="E15" s="182" t="str">
        <f ca="1">IF(ISERROR($V15),"",OFFSET('Smelter Look-up'!$D$4,$V15-4,0)&amp;"")</f>
        <v>JAPAN</v>
      </c>
      <c r="F15" s="182" t="str">
        <f ca="1">IF(ISERROR($V15),"",OFFSET('Smelter Look-up'!$E$4,$V15-4,0))</f>
        <v>CID000019</v>
      </c>
      <c r="G15" s="182" t="str">
        <f ca="1">IF(C15=$X$4,IF(ISERROR($V15),"Enter smelter details","RMI"),IF(ISERROR($V15),"",OFFSET('Smelter Look-up'!$F$4,$V15-4,0)))</f>
        <v>RMI</v>
      </c>
      <c r="H15" s="183">
        <f ca="1">IF(ISERROR($V15),"",OFFSET('Smelter Look-up'!$G$4,$V15-4,0))</f>
        <v>0</v>
      </c>
      <c r="I15" s="184" t="str">
        <f ca="1">IF(ISERROR($V15),"",OFFSET('Smelter Look-up'!$H$4,$V15-4,0))</f>
        <v>Fuchu</v>
      </c>
      <c r="J15" s="184" t="str">
        <f ca="1">IF(ISERROR($V15),"",OFFSET('Smelter Look-up'!$I$4,$V15-4,0))</f>
        <v>Tokyo</v>
      </c>
      <c r="K15" s="224"/>
      <c r="L15" s="224"/>
      <c r="M15" s="224"/>
      <c r="N15" s="224"/>
      <c r="O15" s="224"/>
      <c r="P15" s="185"/>
      <c r="Q15" s="225"/>
      <c r="R15" s="182" t="str">
        <f ca="1">IF(ISERROR($V15),"",OFFSET('Smelter Look-up'!$C$4,$V15-4,0)&amp;"")</f>
        <v>Aida Chemical Industries Co., Ltd.</v>
      </c>
      <c r="S15" s="181" t="str">
        <f t="shared" ca="1" si="2"/>
        <v>JP</v>
      </c>
      <c r="T15" s="181" t="str">
        <f ca="1">IF(B15="","",IF(ISERROR(MATCH($J15,SorP!$B$1:$B$6226,0)),"",INDIRECT("'SorP'!$A$"&amp;MATCH($S15&amp;$J15,SorP!C:C,0))))</f>
        <v>JP-13</v>
      </c>
      <c r="U15" s="201"/>
      <c r="V15" s="226">
        <f>IF(C15="",NA(),IF(OR(C15="Smelter not listed",C15="Smelter not yet identified"),MATCH($B15&amp;$D15,'Smelter Look-up'!$J:$J,0),MATCH($B15&amp;$C15,'Smelter Look-up'!$J:$J,0)))</f>
        <v>13</v>
      </c>
      <c r="X15" s="227">
        <f t="shared" ca="1" si="3"/>
        <v>0</v>
      </c>
      <c r="AB15" s="228" t="str">
        <f t="shared" si="4"/>
        <v>GoldAida Chemical Industries Co., Ltd.</v>
      </c>
    </row>
    <row r="16" spans="1:34" s="227" customFormat="1" ht="20.100000000000001" customHeight="1">
      <c r="A16" s="262"/>
      <c r="B16" s="182" t="s">
        <v>1098</v>
      </c>
      <c r="C16" s="186" t="s">
        <v>1624</v>
      </c>
      <c r="D16" s="230"/>
      <c r="E16" s="182" t="str">
        <f ca="1">IF(ISERROR($V16),"",OFFSET('Smelter Look-up'!$D$4,$V16-4,0)&amp;"")</f>
        <v>CHINA</v>
      </c>
      <c r="F16" s="182" t="str">
        <f ca="1">IF(ISERROR($V16),"",OFFSET('Smelter Look-up'!$E$4,$V16-4,0))</f>
        <v>CID001622</v>
      </c>
      <c r="G16" s="182" t="str">
        <f ca="1">IF(C16=$X$4,IF(ISERROR($V16),"Enter smelter details","RMI"),IF(ISERROR($V16),"",OFFSET('Smelter Look-up'!$F$4,$V16-4,0)))</f>
        <v>RMI</v>
      </c>
      <c r="H16" s="183">
        <f ca="1">IF(ISERROR($V16),"",OFFSET('Smelter Look-up'!$G$4,$V16-4,0))</f>
        <v>0</v>
      </c>
      <c r="I16" s="184" t="str">
        <f ca="1">IF(ISERROR($V16),"",OFFSET('Smelter Look-up'!$H$4,$V16-4,0))</f>
        <v>Zhaoyuan</v>
      </c>
      <c r="J16" s="184" t="str">
        <f ca="1">IF(ISERROR($V16),"",OFFSET('Smelter Look-up'!$I$4,$V16-4,0))</f>
        <v>Shandong Sheng</v>
      </c>
      <c r="K16" s="224"/>
      <c r="L16" s="224"/>
      <c r="M16" s="224"/>
      <c r="N16" s="224"/>
      <c r="O16" s="224"/>
      <c r="P16" s="185"/>
      <c r="Q16" s="225"/>
      <c r="R16" s="182" t="str">
        <f ca="1">IF(ISERROR($V16),"",OFFSET('Smelter Look-up'!$C$4,$V16-4,0)&amp;"")</f>
        <v>Shandong Zhaojin Gold &amp; Silver Refinery Co., Ltd.</v>
      </c>
      <c r="S16" s="181" t="str">
        <f t="shared" ca="1" si="2"/>
        <v>CN</v>
      </c>
      <c r="T16" s="181" t="str">
        <f ca="1">IF(B16="","",IF(ISERROR(MATCH($J16,SorP!$B$1:$B$6226,0)),"",INDIRECT("'SorP'!$A$"&amp;MATCH($S16&amp;$J16,SorP!C:C,0))))</f>
        <v>CN-SD</v>
      </c>
      <c r="U16" s="201"/>
      <c r="V16" s="226">
        <f>IF(C16="",NA(),IF(OR(C16="Smelter not listed",C16="Smelter not yet identified"),MATCH($B16&amp;$D16,'Smelter Look-up'!$J:$J,0),MATCH($B16&amp;$C16,'Smelter Look-up'!$J:$J,0)))</f>
        <v>322</v>
      </c>
      <c r="X16" s="227">
        <f t="shared" ca="1" si="3"/>
        <v>0</v>
      </c>
      <c r="AB16" s="228" t="str">
        <f t="shared" si="4"/>
        <v>GoldZhaojin Mining Industry Co., Ltd.</v>
      </c>
    </row>
    <row r="17" spans="1:28" s="227" customFormat="1" ht="20.100000000000001" customHeight="1">
      <c r="A17" s="262"/>
      <c r="B17" s="182"/>
      <c r="C17" s="186"/>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c r="C18" s="186"/>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c r="C19" s="186"/>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597C5A4-AACB-433D-A25D-5ADF8FFD383F}"/>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Challenge Electronics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All products supplied by Challenge Electronics, to the best of our knowledge, conform to the following.</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Joshua Klyman</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jklyman@challelec.com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16315952217</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Joshua Klyman</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jklyman@challelec.com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45789</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https://challengeelectronics.com/engineering/quality-management/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32EAD08-E6B5-4AC5-8F2E-813EDC5AA75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5929512-94EE-4284-90CB-C6665C018B8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Jason Li</cp:lastModifiedBy>
  <cp:lastPrinted>2015-04-21T20:47:43Z</cp:lastPrinted>
  <dcterms:created xsi:type="dcterms:W3CDTF">2010-06-21T21:00:23Z</dcterms:created>
  <dcterms:modified xsi:type="dcterms:W3CDTF">2025-05-12T17:06:54Z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