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SC-DC-FS01\FolderRedirection\jli\Desktop\"/>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45" yWindow="105" windowWidth="14460" windowHeight="15585" tabRatio="789"/>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51" i="5"/>
  <c r="T59" i="5"/>
  <c r="T79" i="5"/>
  <c r="T99" i="5"/>
  <c r="T170" i="5"/>
  <c r="T203" i="5"/>
  <c r="T210" i="5"/>
  <c r="T274" i="5"/>
  <c r="T32" i="5"/>
  <c r="T153" i="5"/>
  <c r="T351" i="5"/>
  <c r="T222"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24" i="5"/>
  <c r="T484" i="5"/>
  <c r="T266" i="5"/>
  <c r="T344" i="5"/>
  <c r="T146" i="5"/>
  <c r="T117" i="5"/>
  <c r="T404" i="5"/>
  <c r="T19" i="5"/>
  <c r="S19" i="5"/>
  <c r="T20" i="5"/>
  <c r="T21" i="5"/>
  <c r="T5" i="5"/>
  <c r="S18" i="5"/>
  <c r="T6" i="5"/>
  <c r="T18" i="5"/>
  <c r="T22" i="5"/>
  <c r="C8" i="6" l="1"/>
  <c r="C11" i="6"/>
  <c r="C4" i="6"/>
  <c r="C10" i="6"/>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20" i="5"/>
  <c r="S5" i="5"/>
  <c r="S22" i="5"/>
  <c r="S6" i="5"/>
  <c r="S21" i="5"/>
  <c r="H52" i="6" l="1"/>
  <c r="D52"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G17" i="5" s="1"/>
  <c r="V15" i="5"/>
  <c r="AB7" i="5"/>
  <c r="V13" i="5"/>
  <c r="V7" i="5"/>
  <c r="F69" i="6"/>
  <c r="C69" i="6" s="1"/>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26" i="6" l="1"/>
  <c r="E14" i="5"/>
  <c r="F14" i="5"/>
  <c r="H14" i="5"/>
  <c r="I14" i="5"/>
  <c r="J14" i="5"/>
  <c r="G14" i="5"/>
  <c r="E15" i="5"/>
  <c r="J15" i="5"/>
  <c r="F15" i="5"/>
  <c r="H15" i="5"/>
  <c r="I15" i="5"/>
  <c r="G15" i="5"/>
  <c r="E16" i="5"/>
  <c r="J16" i="5"/>
  <c r="F16" i="5"/>
  <c r="H16" i="5"/>
  <c r="I16" i="5"/>
  <c r="G16" i="5"/>
  <c r="G12" i="5"/>
  <c r="H12" i="5"/>
  <c r="I12" i="5"/>
  <c r="F12" i="5"/>
  <c r="J12" i="5"/>
  <c r="E12" i="5"/>
  <c r="E11" i="5"/>
  <c r="F11" i="5"/>
  <c r="G11" i="5"/>
  <c r="H11" i="5"/>
  <c r="I11" i="5"/>
  <c r="J11" i="5"/>
  <c r="I13" i="5"/>
  <c r="J13" i="5"/>
  <c r="G13" i="5"/>
  <c r="E13" i="5"/>
  <c r="F13" i="5"/>
  <c r="H13" i="5"/>
  <c r="G68" i="6"/>
  <c r="H68" i="6" s="1"/>
  <c r="D68" i="6" s="1"/>
  <c r="C39" i="6"/>
  <c r="C35" i="6"/>
  <c r="C46" i="6"/>
  <c r="C34" i="6"/>
  <c r="D34" i="6"/>
  <c r="D31" i="6"/>
  <c r="C30" i="6"/>
  <c r="D30" i="6"/>
  <c r="C32" i="6"/>
  <c r="D32" i="6"/>
  <c r="R16" i="5"/>
  <c r="E10" i="5"/>
  <c r="I10" i="5"/>
  <c r="F10" i="5"/>
  <c r="R10" i="5"/>
  <c r="J10" i="5"/>
  <c r="H10" i="5"/>
  <c r="R13" i="5"/>
  <c r="H7" i="5"/>
  <c r="E7" i="5"/>
  <c r="R7" i="5"/>
  <c r="F7" i="5"/>
  <c r="I7" i="5"/>
  <c r="J7" i="5"/>
  <c r="H17" i="5"/>
  <c r="I17" i="5"/>
  <c r="J17" i="5"/>
  <c r="R17" i="5"/>
  <c r="F17" i="5"/>
  <c r="E17" i="5"/>
  <c r="G7" i="5"/>
  <c r="G66" i="6"/>
  <c r="H66" i="6" s="1"/>
  <c r="C66" i="6" s="1"/>
  <c r="G67" i="6"/>
  <c r="H67" i="6" s="1"/>
  <c r="D67" i="6" s="1"/>
  <c r="G65" i="6"/>
  <c r="H65" i="6" s="1"/>
  <c r="C65" i="6" s="1"/>
  <c r="R12" i="5"/>
  <c r="H9" i="5"/>
  <c r="J9" i="5"/>
  <c r="E9" i="5"/>
  <c r="I9" i="5"/>
  <c r="R9" i="5"/>
  <c r="F9" i="5"/>
  <c r="R8" i="5"/>
  <c r="H8" i="5"/>
  <c r="J8" i="5"/>
  <c r="E8" i="5"/>
  <c r="I8" i="5"/>
  <c r="F8" i="5"/>
  <c r="G9" i="5"/>
  <c r="G10" i="5"/>
  <c r="G8" i="5"/>
  <c r="R15" i="5"/>
  <c r="R11" i="5"/>
  <c r="R14" i="5"/>
  <c r="C49" i="6"/>
  <c r="C47" i="6"/>
  <c r="C60" i="6"/>
  <c r="D60" i="6"/>
  <c r="D58" i="6"/>
  <c r="C58" i="6"/>
  <c r="D63" i="6"/>
  <c r="C63" i="6"/>
  <c r="C62" i="6"/>
  <c r="D62" i="6"/>
  <c r="C54" i="6"/>
  <c r="D54" i="6"/>
  <c r="D57" i="6"/>
  <c r="C57" i="6"/>
  <c r="F56" i="6"/>
  <c r="H56" i="6" s="1"/>
  <c r="H55" i="6"/>
  <c r="D59" i="6"/>
  <c r="C59" i="6"/>
  <c r="T16" i="5"/>
  <c r="T11" i="5"/>
  <c r="T17" i="5"/>
  <c r="T9" i="5"/>
  <c r="T13" i="5"/>
  <c r="T12" i="5"/>
  <c r="T10" i="5"/>
  <c r="T15" i="5"/>
  <c r="T8" i="5"/>
  <c r="T7" i="5"/>
  <c r="T14" i="5"/>
  <c r="C68" i="6" l="1"/>
  <c r="X13" i="5"/>
  <c r="X10" i="5"/>
  <c r="D65" i="6"/>
  <c r="X9" i="5"/>
  <c r="X12" i="5"/>
  <c r="X14" i="5"/>
  <c r="X17" i="5"/>
  <c r="D66" i="6"/>
  <c r="C67" i="6"/>
  <c r="X11" i="5"/>
  <c r="X15" i="5"/>
  <c r="X8" i="5"/>
  <c r="X7" i="5"/>
  <c r="G69" i="6"/>
  <c r="H69" i="6" s="1"/>
  <c r="H70" i="6" s="1"/>
  <c r="D2" i="6" s="1"/>
  <c r="X16" i="5"/>
  <c r="D55" i="6"/>
  <c r="C55" i="6"/>
  <c r="D56" i="6"/>
  <c r="C56" i="6"/>
  <c r="S12" i="5"/>
  <c r="S9" i="5"/>
  <c r="S8" i="5"/>
  <c r="S16" i="5"/>
  <c r="S15" i="5"/>
  <c r="S13" i="5"/>
  <c r="S7" i="5"/>
  <c r="S11" i="5"/>
  <c r="S17" i="5"/>
  <c r="S10" i="5"/>
  <c r="S14"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<sst xmlns="http://schemas.openxmlformats.org/spreadsheetml/2006/main" count="22008" uniqueCount="15620">
  <si>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</si>
  <si>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</si>
  <si>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</si>
  <si>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</si>
  <si>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</si>
  <si>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</si>
  <si>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</si>
  <si>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</si>
  <si>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</si>
  <si>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</si>
  <si>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</si>
  <si>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</si>
  <si>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</si>
  <si>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</si>
  <si>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</si>
  <si>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</si>
  <si>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</si>
  <si>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</si>
  <si>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</si>
  <si>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</si>
  <si>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</si>
  <si>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</si>
  <si>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</si>
  <si>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</si>
  <si>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</si>
  <si>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</si>
  <si>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</si>
  <si>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</si>
  <si>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</si>
  <si>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</si>
  <si>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</si>
  <si>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</si>
  <si>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</si>
  <si>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</si>
  <si>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</si>
  <si>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</si>
  <si>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</si>
  <si>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</si>
  <si>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</si>
  <si>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</si>
  <si>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</si>
  <si>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</si>
  <si>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</si>
  <si>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</si>
  <si>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</si>
  <si>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</si>
  <si>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</si>
  <si>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</si>
  <si>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</si>
  <si>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</si>
  <si>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</si>
  <si>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</si>
  <si>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</si>
  <si>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</si>
  <si>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</si>
  <si>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</si>
  <si>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</si>
  <si>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</si>
  <si>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</si>
  <si>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</si>
  <si>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</si>
  <si>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</si>
  <si>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</si>
  <si>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</si>
  <si>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</si>
  <si>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</si>
  <si>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</si>
  <si>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</si>
  <si>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</si>
  <si>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</si>
  <si>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</si>
  <si>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</si>
  <si>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</si>
  <si>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</si>
  <si>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</si>
  <si>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</si>
  <si>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</si>
  <si>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</si>
  <si>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</si>
  <si>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</si>
  <si>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</si>
  <si>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</si>
  <si>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</si>
  <si>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</si>
  <si>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</si>
  <si>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</si>
  <si>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</si>
  <si>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</si>
  <si>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</si>
  <si>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</si>
  <si>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</si>
  <si>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</si>
  <si>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</si>
  <si>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</si>
  <si>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</si>
  <si>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</si>
  <si>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</si>
  <si>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</si>
  <si>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</si>
  <si>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</si>
  <si>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</si>
  <si>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</si>
  <si>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</si>
  <si>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</si>
  <si>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</si>
  <si>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</si>
  <si>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</si>
  <si>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</si>
  <si>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</si>
  <si>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</si>
  <si>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</si>
  <si>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</si>
  <si>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</si>
  <si>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</si>
  <si>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</si>
  <si>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</si>
  <si>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</si>
  <si>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</si>
  <si>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</si>
  <si>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</si>
  <si>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</si>
  <si>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</si>
  <si>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</si>
  <si>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</si>
  <si>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</si>
  <si>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</si>
  <si>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</si>
  <si>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</si>
  <si>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</si>
  <si>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</si>
  <si>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</si>
  <si>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</si>
  <si>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</si>
  <si>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</si>
  <si>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</si>
  <si>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</si>
  <si>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</si>
  <si>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</si>
  <si>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</si>
  <si>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</si>
  <si>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</si>
  <si>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</si>
  <si>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</si>
  <si>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</si>
  <si>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</si>
  <si>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</si>
  <si>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</si>
  <si>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</si>
  <si>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</si>
  <si>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</si>
  <si>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</si>
  <si>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</si>
  <si>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</si>
  <si>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</si>
  <si>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</si>
  <si>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</si>
  <si>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</si>
  <si>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</si>
  <si>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</si>
  <si>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</si>
  <si>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</si>
  <si>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</si>
  <si>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</si>
  <si>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</si>
  <si>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</si>
  <si>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</si>
  <si>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</si>
  <si>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</si>
  <si>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</si>
  <si>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</si>
  <si>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</si>
  <si>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</si>
  <si>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</si>
  <si>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</si>
  <si>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</si>
  <si>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</si>
  <si>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</si>
  <si>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</si>
  <si>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</si>
  <si>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</si>
  <si>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</si>
  <si>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</si>
  <si>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</si>
  <si>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</si>
  <si>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</si>
  <si>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</si>
  <si>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</si>
  <si>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</si>
  <si>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</si>
  <si>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</si>
  <si>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</si>
  <si>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</si>
  <si>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</si>
  <si>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</si>
  <si>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</si>
  <si>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</si>
  <si>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</si>
  <si>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</si>
  <si>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</si>
  <si>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</si>
  <si>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</si>
  <si>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</si>
  <si>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</si>
  <si>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</si>
  <si>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</si>
  <si>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</si>
  <si>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</si>
  <si>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</si>
  <si>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</si>
  <si>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</si>
  <si>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</si>
  <si>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</si>
  <si>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</si>
  <si>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</si>
  <si>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</si>
  <si>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</si>
  <si>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</si>
  <si>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</si>
  <si>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</si>
  <si>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</si>
  <si>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</si>
  <si>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</si>
  <si>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</si>
  <si>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</si>
  <si>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</si>
  <si>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</si>
  <si>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</si>
  <si>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</si>
  <si>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</si>
  <si>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</si>
  <si>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</si>
  <si>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</si>
  <si>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</si>
  <si>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</si>
  <si>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</si>
  <si>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</si>
  <si>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</si>
  <si>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</si>
  <si>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</si>
  <si>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</si>
  <si>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</si>
  <si>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</si>
  <si>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</si>
  <si>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</si>
  <si>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</si>
  <si>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</si>
  <si>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</si>
  <si>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</si>
  <si>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</si>
  <si>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</si>
  <si>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</si>
  <si>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</si>
  <si>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</si>
  <si>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</si>
  <si>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</si>
  <si>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</si>
  <si>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</si>
  <si>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</si>
  <si>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</si>
  <si>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</si>
  <si>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</si>
  <si>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</si>
  <si>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</si>
  <si>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</si>
  <si>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</si>
  <si>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</si>
  <si>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</si>
  <si>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</si>
  <si>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</si>
  <si>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</si>
  <si>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</si>
  <si>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</si>
  <si>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</si>
  <si>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</si>
  <si>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</si>
  <si>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</si>
  <si>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</si>
  <si>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</si>
  <si>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</si>
  <si>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</si>
  <si>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</si>
  <si>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</si>
  <si>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</si>
  <si>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</si>
  <si>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</si>
  <si>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</si>
  <si>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</si>
  <si>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</si>
  <si>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</si>
  <si>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</si>
  <si>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</si>
  <si>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</si>
  <si>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</si>
  <si>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</si>
  <si>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</si>
  <si>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</si>
  <si>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</si>
  <si>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</si>
  <si>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</si>
  <si>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</si>
  <si>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</si>
  <si>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</si>
  <si>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</si>
  <si>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</si>
  <si>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</si>
  <si>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</si>
  <si>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</si>
  <si>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</si>
  <si>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</si>
  <si>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</si>
  <si>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</si>
  <si>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</si>
  <si>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</si>
  <si>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</si>
  <si>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</si>
  <si>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</si>
  <si>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</si>
  <si>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</si>
  <si>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</si>
  <si>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</si>
  <si>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</si>
  <si>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</si>
  <si>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</si>
  <si>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</si>
  <si>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</si>
  <si>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</si>
  <si>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</si>
  <si>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</si>
  <si>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</si>
  <si>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</si>
  <si>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</si>
  <si>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</si>
  <si>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</si>
  <si>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</si>
  <si>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</si>
  <si>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</si>
  <si>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</si>
  <si>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</si>
  <si>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</si>
  <si>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</si>
  <si>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</si>
  <si>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</si>
  <si>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</si>
  <si>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</si>
  <si>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</si>
  <si>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</si>
  <si>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</si>
  <si>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</si>
  <si>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</si>
  <si>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</si>
  <si>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</si>
  <si>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</si>
  <si>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</si>
  <si>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</si>
  <si>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</si>
  <si>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</si>
  <si>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</si>
  <si>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</si>
  <si>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</si>
  <si>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</si>
  <si>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</si>
  <si>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</si>
  <si>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</si>
  <si>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</si>
  <si>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</si>
  <si>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</si>
  <si>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</si>
  <si>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</si>
  <si>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</si>
  <si>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</si>
  <si>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</si>
  <si>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</si>
  <si>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</si>
  <si>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</si>
  <si>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</si>
  <si>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</si>
  <si>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</si>
  <si>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</si>
  <si>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</si>
  <si>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</si>
  <si>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</si>
  <si>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</si>
  <si>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</si>
  <si>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</si>
  <si>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</si>
  <si>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</si>
  <si>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</si>
  <si>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</si>
  <si>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</si>
  <si>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</si>
  <si>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</si>
  <si>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</si>
  <si>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</si>
  <si>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</si>
  <si>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</si>
  <si>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</si>
  <si>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</si>
  <si>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</si>
  <si>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</si>
  <si>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</si>
  <si>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</si>
  <si>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</si>
  <si>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</si>
  <si>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</si>
  <si>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</si>
  <si>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</si>
  <si>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</si>
  <si>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</si>
  <si>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</si>
  <si>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</si>
  <si>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</si>
  <si>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</si>
  <si>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</si>
  <si>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</si>
  <si>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</si>
  <si>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</si>
  <si>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</si>
  <si>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</si>
  <si>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</si>
  <si>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</si>
  <si>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</si>
  <si>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</si>
  <si>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</si>
  <si>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</si>
  <si>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</si>
  <si>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</si>
  <si>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</si>
  <si>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</si>
  <si>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</si>
  <si>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</si>
  <si>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</si>
  <si>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</si>
  <si>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</si>
  <si>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</si>
  <si>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</si>
  <si>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</si>
  <si>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</si>
  <si>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</si>
  <si>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</si>
  <si>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</si>
  <si>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</si>
  <si>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</si>
  <si>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</si>
  <si>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</si>
  <si>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</si>
  <si>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</si>
  <si>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</si>
  <si>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</si>
  <si>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</si>
  <si>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</si>
  <si>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</si>
  <si>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</si>
  <si>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</si>
  <si>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</si>
  <si>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</si>
  <si>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</si>
  <si>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</si>
  <si>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</si>
  <si>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</si>
  <si>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</si>
  <si>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</si>
  <si>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</si>
  <si>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</si>
  <si>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</si>
  <si>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</si>
  <si>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</si>
  <si>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</si>
  <si>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</si>
  <si>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</si>
  <si>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</si>
  <si>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</si>
  <si>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</si>
  <si>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</si>
  <si>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</si>
  <si>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</si>
  <si>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</si>
  <si>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</si>
  <si>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</si>
  <si>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</si>
  <si>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</si>
  <si>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</si>
  <si>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</si>
  <si>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</si>
  <si>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</si>
  <si>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</si>
  <si>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</si>
  <si>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</si>
  <si>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</si>
  <si>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</si>
  <si>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</si>
  <si>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</si>
  <si>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</si>
  <si>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</si>
  <si>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</si>
  <si>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</si>
  <si>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</si>
  <si>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</si>
  <si>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</si>
  <si>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</si>
  <si>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</si>
  <si>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</si>
  <si>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</si>
  <si>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</si>
  <si>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</si>
  <si>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</si>
  <si>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</si>
  <si>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</si>
  <si>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</si>
  <si>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</si>
  <si>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</si>
  <si>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</si>
  <si>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</si>
  <si>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</si>
  <si>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</si>
  <si>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</si>
  <si>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</si>
  <si>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</si>
  <si>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</si>
  <si>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</si>
  <si>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</si>
  <si>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</si>
  <si>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</si>
  <si>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</si>
  <si>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</si>
  <si>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</si>
  <si>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</si>
  <si>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</si>
  <si>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</si>
  <si>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</si>
  <si>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</si>
  <si>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</si>
  <si>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</si>
  <si>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</si>
  <si>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</si>
  <si>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</si>
  <si>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</si>
  <si>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</si>
  <si>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</si>
  <si>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</si>
  <si>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</si>
  <si>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</si>
  <si>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</si>
  <si>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</si>
  <si>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</si>
  <si>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</si>
  <si>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</si>
  <si>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</si>
  <si>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</si>
  <si>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</si>
  <si>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</si>
  <si>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</si>
  <si>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</si>
  <si>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</si>
  <si>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</si>
  <si>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</si>
  <si>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</si>
  <si>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</si>
  <si>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</si>
  <si>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</si>
  <si>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</si>
  <si>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</si>
  <si>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</si>
  <si>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</si>
  <si>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</si>
  <si>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</si>
  <si>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</si>
  <si>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</si>
  <si>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</si>
  <si>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</si>
  <si>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</si>
  <si>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</si>
  <si>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</si>
  <si>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</si>
  <si>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</si>
  <si>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</si>
  <si>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</si>
  <si>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</si>
  <si>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</si>
  <si>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</si>
  <si>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</si>
  <si>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</si>
  <si>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</si>
  <si>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</si>
  <si>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</si>
  <si>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</si>
  <si>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</si>
  <si>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</si>
  <si>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</si>
  <si>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</si>
  <si>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</si>
  <si>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</si>
  <si>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</si>
  <si>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</si>
  <si>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</si>
  <si>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</si>
  <si>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</si>
  <si>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</si>
  <si>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</si>
  <si>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</si>
  <si>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</si>
  <si>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</si>
  <si>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</si>
  <si>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</si>
  <si>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</si>
  <si>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</si>
  <si>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</si>
  <si>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</si>
  <si>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</si>
  <si>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</si>
  <si>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</si>
  <si>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</si>
  <si>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</si>
  <si>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</si>
  <si>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</si>
  <si>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</si>
  <si>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</si>
  <si>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</si>
  <si>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</si>
  <si>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</si>
  <si>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</si>
  <si>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</si>
  <si>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</si>
  <si>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</si>
  <si>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</si>
  <si>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</si>
  <si>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</si>
  <si>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</si>
  <si>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</si>
  <si>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</si>
  <si>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</si>
  <si>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</si>
  <si>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</si>
  <si>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</si>
  <si>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</si>
  <si>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</si>
  <si>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</si>
  <si>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</si>
  <si>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</si>
  <si>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</si>
  <si>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</si>
  <si>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</si>
  <si>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</si>
  <si>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</si>
  <si>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</si>
  <si>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</si>
  <si>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</si>
  <si>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</si>
  <si>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</si>
  <si>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</si>
  <si>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</si>
  <si>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</si>
  <si>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</si>
  <si>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</si>
  <si>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</si>
  <si>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</si>
  <si>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</si>
  <si>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</si>
  <si>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</si>
  <si>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</si>
  <si>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</si>
  <si>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</si>
  <si>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</si>
  <si>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</si>
  <si>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</si>
  <si>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</si>
  <si>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</si>
  <si>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</si>
  <si>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</si>
  <si>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</si>
  <si>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</si>
  <si>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</si>
  <si>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</si>
  <si>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</si>
  <si>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</si>
  <si>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</si>
  <si>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</si>
  <si>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</si>
  <si>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</si>
  <si>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</si>
  <si>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</si>
  <si>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</si>
  <si>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</si>
  <si>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</si>
  <si>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</si>
  <si>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</si>
  <si>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</si>
  <si>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</si>
  <si>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</si>
  <si>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</si>
  <si>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</si>
  <si>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</si>
  <si>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</si>
  <si>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</si>
  <si>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</si>
  <si>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</si>
  <si>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</si>
  <si>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</si>
  <si>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</si>
  <si>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</si>
  <si>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</si>
  <si>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</si>
  <si>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</si>
  <si>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</si>
  <si>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</si>
  <si>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</si>
  <si>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</si>
  <si>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</si>
  <si>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</si>
  <si>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</si>
  <si>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</si>
  <si>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</si>
  <si>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</si>
  <si>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</si>
  <si>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</si>
  <si>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</si>
  <si>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</si>
  <si>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</si>
  <si>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</si>
  <si>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</si>
  <si>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</si>
  <si>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</si>
  <si>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</si>
  <si>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</si>
  <si>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</si>
  <si>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</si>
  <si>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</si>
  <si>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</si>
  <si>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</si>
  <si>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</si>
  <si>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</si>
  <si>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</si>
  <si>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</si>
  <si>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</si>
  <si>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</si>
  <si>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</si>
  <si>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</si>
  <si>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</si>
  <si>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</si>
  <si>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</si>
  <si>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</si>
  <si>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</si>
  <si>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</si>
  <si>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</si>
  <si>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</si>
  <si>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</si>
  <si>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</si>
  <si>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</si>
  <si>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</si>
  <si>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</si>
  <si>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</si>
  <si>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</si>
  <si>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</si>
  <si>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</si>
  <si>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</si>
  <si>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</si>
  <si>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</si>
  <si>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</si>
  <si>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</si>
  <si>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</si>
  <si>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</si>
  <si>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</si>
  <si>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</si>
  <si>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</si>
  <si>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</si>
  <si>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</si>
  <si>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</si>
  <si>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</si>
  <si>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</si>
  <si>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</si>
  <si>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</si>
  <si>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</si>
  <si>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</si>
  <si>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</si>
  <si>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</si>
  <si>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</si>
  <si>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</si>
  <si>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</si>
  <si>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</si>
  <si>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</si>
  <si>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</si>
  <si>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</si>
  <si>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</si>
  <si>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</si>
  <si>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</si>
  <si>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</si>
  <si>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</si>
  <si>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</si>
  <si>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</si>
  <si>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</si>
  <si>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</si>
  <si>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</si>
  <si>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</si>
  <si>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</si>
  <si>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</si>
  <si>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</si>
  <si>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</si>
  <si>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</si>
  <si>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</si>
  <si>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</si>
  <si>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</si>
  <si>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</si>
  <si>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</si>
  <si>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</si>
  <si>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</si>
  <si>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</si>
  <si>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</si>
  <si>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</si>
  <si>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</si>
  <si>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</si>
  <si>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</si>
  <si>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</si>
  <si>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</si>
  <si>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</si>
  <si>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</si>
  <si>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</si>
  <si>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</si>
  <si>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</si>
  <si>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</si>
  <si>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</si>
  <si>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</si>
  <si>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</si>
  <si>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</si>
  <si>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</si>
  <si>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</si>
  <si>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</si>
  <si>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</si>
  <si>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</si>
  <si>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</si>
  <si>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</si>
  <si>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</si>
  <si>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</si>
  <si>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</si>
  <si>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</si>
  <si>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</si>
  <si>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</si>
  <si>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</si>
  <si>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</si>
  <si>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</si>
  <si>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</si>
  <si>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</si>
  <si>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</si>
  <si>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</si>
  <si>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</si>
  <si>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</si>
  <si>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</si>
  <si>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</si>
  <si>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</si>
  <si>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</si>
  <si>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</si>
  <si>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</si>
  <si>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</si>
  <si>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</si>
  <si>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</si>
  <si>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</si>
  <si>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</si>
  <si>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</si>
  <si>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</si>
  <si>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</si>
  <si>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</si>
  <si>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</si>
  <si>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</si>
  <si>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</si>
  <si>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</si>
  <si>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</si>
  <si>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</si>
  <si>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</si>
  <si>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</si>
  <si>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</si>
  <si>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</si>
  <si>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</si>
  <si>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</si>
  <si>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</si>
  <si>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</si>
  <si>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</si>
  <si>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</si>
  <si>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</si>
  <si>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</si>
  <si>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</si>
  <si>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</si>
  <si>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</si>
  <si>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</si>
  <si>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</si>
  <si>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</si>
  <si>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</si>
  <si>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</si>
  <si>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</si>
  <si>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</si>
  <si>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</si>
  <si>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</si>
  <si>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</si>
  <si>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</si>
  <si>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</si>
  <si>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</si>
  <si>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</si>
  <si>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</si>
  <si>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</si>
  <si>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</si>
  <si>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</si>
  <si>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</si>
  <si>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</si>
  <si>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</si>
  <si>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</si>
  <si>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</si>
  <si>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</si>
  <si>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</si>
  <si>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</si>
  <si>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</si>
  <si>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</si>
  <si>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</si>
  <si>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</si>
  <si>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</si>
  <si>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</si>
  <si>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</si>
  <si>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</si>
  <si>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</si>
  <si>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</si>
  <si>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</si>
  <si>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</si>
  <si>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</si>
  <si>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</si>
  <si>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</si>
  <si>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</si>
  <si>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</si>
  <si>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</si>
  <si>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</si>
  <si>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</si>
  <si>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</si>
  <si>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</si>
  <si>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</si>
  <si>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</si>
  <si>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</si>
  <si>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</si>
  <si>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</si>
  <si>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</si>
  <si>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</si>
  <si>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</si>
  <si>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</si>
  <si>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</si>
  <si>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</si>
  <si>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</si>
  <si>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</si>
  <si>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</si>
  <si>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</si>
  <si>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</si>
  <si>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</si>
  <si>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</si>
  <si>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</si>
  <si>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</si>
  <si>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</si>
  <si>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</si>
  <si>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</si>
  <si>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</si>
  <si>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</si>
  <si>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</si>
  <si>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</si>
  <si>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</si>
  <si>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</si>
  <si>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</si>
  <si>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</si>
  <si>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</si>
  <si>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</si>
  <si>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</si>
  <si>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</si>
  <si>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</si>
  <si>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</si>
  <si>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</si>
  <si>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</si>
  <si>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</si>
  <si>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</si>
  <si>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</si>
  <si>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</si>
  <si>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</si>
  <si>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</si>
  <si>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</si>
  <si>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</si>
  <si>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</si>
  <si>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</si>
  <si>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</si>
  <si>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</si>
  <si>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</si>
  <si>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</si>
  <si>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</si>
  <si>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</si>
  <si>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</si>
  <si>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</si>
  <si>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</si>
  <si>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</si>
  <si>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</si>
  <si>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</si>
  <si>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</si>
  <si>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</si>
  <si>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</si>
  <si>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</si>
  <si>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</si>
  <si>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</si>
  <si>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</si>
  <si>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</si>
  <si>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</si>
  <si>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</si>
  <si>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</si>
  <si>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</si>
  <si>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</si>
  <si>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</si>
  <si>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</si>
  <si>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</si>
  <si>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</si>
  <si>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</si>
  <si>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</si>
  <si>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</si>
  <si>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</si>
  <si>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</si>
  <si>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</si>
  <si>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</si>
  <si>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</si>
  <si>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</si>
  <si>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</si>
  <si>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</si>
  <si>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</si>
  <si>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</si>
  <si>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</si>
  <si>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</si>
  <si>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</si>
  <si>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</si>
  <si>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</si>
  <si>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</si>
  <si>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</si>
  <si>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</si>
  <si>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</si>
  <si>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</si>
  <si>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</si>
  <si>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</si>
  <si>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</si>
  <si>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</si>
  <si>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</si>
  <si>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</si>
  <si>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</si>
  <si>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</si>
  <si>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</si>
  <si>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</si>
  <si>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</si>
  <si>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</si>
  <si>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</si>
  <si>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</si>
  <si>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</si>
  <si>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</si>
  <si>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</si>
  <si>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</si>
  <si>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</si>
  <si>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</si>
  <si>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</si>
  <si>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</si>
  <si>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</si>
  <si>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</si>
  <si>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</si>
  <si>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</si>
  <si>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</si>
  <si>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</si>
  <si>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</si>
  <si>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</si>
  <si>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</si>
  <si>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</si>
  <si>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</si>
  <si>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</si>
  <si>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</si>
  <si>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</si>
  <si>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</si>
  <si>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</si>
  <si>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</si>
  <si>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</si>
  <si>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</si>
  <si>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</si>
  <si>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</si>
  <si>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</si>
  <si>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</si>
  <si>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</si>
  <si>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</si>
  <si>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</si>
  <si>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</si>
  <si>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</si>
  <si>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</si>
  <si>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</si>
  <si>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</si>
  <si>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</si>
  <si>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</si>
  <si>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</si>
  <si>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</si>
  <si>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</si>
  <si>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</si>
  <si>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</si>
  <si>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</si>
  <si>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</si>
  <si>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</si>
  <si>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</si>
  <si>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</si>
  <si>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</si>
  <si>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</si>
  <si>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</si>
  <si>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</si>
  <si>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</si>
  <si>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</si>
  <si>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</si>
  <si>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</si>
  <si>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</si>
  <si>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</si>
  <si>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</si>
  <si>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</si>
  <si>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</si>
  <si>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</si>
  <si>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</si>
  <si>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</si>
  <si>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</si>
  <si>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</si>
  <si>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</si>
  <si>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</si>
  <si>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</si>
  <si>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</si>
  <si>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</si>
  <si>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</si>
  <si>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</si>
  <si>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</si>
  <si>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</si>
  <si>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</si>
  <si>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</si>
  <si>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</si>
  <si>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</si>
  <si>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</si>
  <si>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</si>
  <si>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</si>
  <si>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</si>
  <si>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</si>
  <si>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</si>
  <si>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</si>
  <si>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</si>
  <si>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</si>
  <si>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</si>
  <si>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</si>
  <si>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</si>
  <si>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</si>
  <si>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</si>
  <si>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</si>
  <si>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</si>
  <si>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</si>
  <si>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</si>
  <si>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</si>
  <si>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</si>
  <si>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</si>
  <si>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</si>
  <si>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</si>
  <si>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</si>
  <si>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</si>
  <si>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</si>
  <si>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</si>
  <si>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</si>
  <si>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</si>
  <si>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</si>
  <si>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</si>
  <si>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</si>
  <si>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</si>
  <si>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</si>
  <si>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</si>
  <si>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</si>
  <si>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</si>
  <si>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</si>
  <si>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</si>
  <si>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</si>
  <si>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</si>
  <si>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</si>
  <si>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</si>
  <si>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</si>
  <si>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</si>
  <si>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</si>
  <si>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</si>
  <si>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</si>
  <si>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</si>
  <si>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</si>
  <si>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</si>
  <si>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</si>
  <si>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</si>
  <si>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</si>
  <si>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</si>
  <si>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</si>
  <si>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</si>
  <si>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</si>
  <si>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</si>
  <si>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</si>
  <si>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</si>
  <si>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</si>
  <si>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</si>
  <si>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</si>
  <si>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</si>
  <si>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</si>
  <si>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</si>
  <si>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</si>
  <si>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</si>
  <si>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</si>
  <si>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</si>
  <si>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</si>
  <si>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</si>
  <si>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</si>
  <si>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</si>
  <si>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</si>
  <si>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</si>
  <si>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</si>
  <si>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</si>
  <si>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</si>
  <si>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</si>
  <si>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</si>
  <si>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</si>
  <si>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</si>
  <si>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</si>
  <si>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</si>
  <si>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</si>
  <si>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</si>
  <si>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</si>
  <si>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</si>
  <si>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</si>
  <si>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</si>
  <si>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</si>
  <si>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</si>
  <si>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</si>
  <si>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</si>
  <si>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</si>
  <si>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</si>
  <si>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</si>
  <si>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</si>
  <si>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</si>
  <si>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</si>
  <si>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</si>
  <si>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</si>
  <si>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</si>
  <si>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</si>
  <si>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</si>
  <si>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</si>
  <si>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</si>
  <si>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</si>
  <si>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</si>
  <si>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</si>
  <si>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</si>
  <si>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</si>
  <si>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</si>
  <si>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</si>
  <si>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</si>
  <si>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</si>
  <si>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</si>
  <si>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</si>
  <si>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</si>
  <si>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</si>
  <si>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</si>
  <si>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</si>
  <si>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</si>
  <si>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</si>
  <si>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</si>
  <si>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</si>
  <si>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</si>
  <si>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</si>
  <si>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</si>
  <si>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</si>
  <si>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</si>
  <si>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</si>
  <si>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</si>
  <si>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</si>
  <si>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</si>
  <si>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</si>
  <si>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</si>
  <si>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</si>
  <si>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</si>
  <si>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</si>
  <si>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</si>
  <si>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</si>
  <si>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</si>
  <si>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</si>
  <si>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</si>
  <si>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</si>
  <si>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</si>
  <si>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</si>
  <si>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</si>
  <si>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</si>
  <si>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</si>
  <si>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</si>
  <si>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</si>
  <si>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</si>
  <si>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</si>
  <si>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</si>
  <si>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</si>
  <si>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</si>
  <si>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</si>
  <si>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</si>
  <si>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</si>
  <si>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</si>
  <si>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</si>
  <si>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</si>
  <si>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</si>
  <si>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</si>
  <si>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</si>
  <si>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</si>
  <si>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</si>
  <si>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</si>
  <si>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</si>
  <si>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</si>
  <si>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</si>
  <si>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</si>
  <si>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</si>
  <si>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</si>
  <si>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</si>
  <si>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</si>
  <si>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</si>
  <si>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</si>
  <si>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</si>
  <si>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</si>
  <si>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</si>
  <si>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</si>
  <si>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</si>
  <si>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</si>
  <si>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</si>
  <si>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</si>
  <si>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</si>
  <si>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</si>
  <si>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</si>
  <si>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</si>
  <si>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</si>
  <si>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</si>
  <si>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</si>
  <si>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</si>
  <si>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</si>
  <si>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</si>
  <si>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</si>
  <si>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</si>
  <si>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</si>
  <si>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</si>
  <si>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</si>
  <si>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</si>
  <si>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</si>
  <si>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</si>
  <si>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</si>
  <si>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</si>
  <si>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</si>
  <si>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</si>
  <si>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</si>
  <si>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</si>
  <si>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</si>
  <si>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</si>
  <si>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</si>
  <si>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</si>
  <si>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</si>
  <si>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</si>
  <si>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</si>
  <si>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</si>
  <si>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</si>
  <si>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</si>
  <si>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</si>
  <si>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</si>
  <si>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</si>
  <si>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</si>
  <si>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</si>
  <si>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</si>
  <si>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</si>
  <si>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</si>
  <si>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</si>
  <si>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</si>
  <si>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</si>
  <si>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</si>
  <si>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</si>
  <si>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</si>
  <si>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</si>
  <si>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</si>
  <si>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</si>
  <si>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</si>
  <si>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</si>
  <si>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</si>
  <si>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</si>
  <si>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</si>
  <si>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</si>
  <si>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</si>
  <si>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</si>
  <si>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</si>
  <si>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</si>
  <si>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</si>
  <si>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</si>
  <si>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</si>
  <si>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</si>
  <si>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</si>
  <si>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</si>
  <si>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</si>
  <si>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</si>
  <si>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</si>
  <si>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</si>
  <si>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</si>
  <si>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</si>
  <si>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</si>
  <si>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</si>
  <si>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</si>
  <si>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</si>
  <si>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</si>
  <si>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</si>
  <si>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</si>
  <si>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</si>
  <si>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</si>
  <si>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</si>
  <si>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</si>
  <si>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</si>
  <si>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</si>
  <si>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</si>
  <si>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</si>
  <si>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</si>
  <si>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</si>
  <si>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</si>
  <si>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</si>
  <si>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</si>
  <si>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</si>
  <si>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</si>
  <si>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</si>
  <si>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</si>
  <si>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</si>
  <si>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</si>
  <si>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</si>
  <si>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</si>
  <si>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</si>
  <si>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</si>
  <si>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</si>
  <si>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</si>
  <si>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</si>
  <si>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</si>
  <si>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</si>
  <si>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</si>
  <si>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</si>
  <si>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</si>
  <si>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</si>
  <si>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</si>
  <si>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</si>
  <si>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</si>
  <si>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</si>
  <si>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</si>
  <si>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</si>
  <si>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</si>
  <si>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</si>
  <si>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</si>
  <si>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</si>
  <si>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</si>
  <si>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</si>
  <si>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</si>
  <si>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</si>
  <si>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</si>
  <si>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</si>
  <si>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</si>
  <si>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</si>
  <si>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</si>
  <si>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</si>
  <si>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</si>
  <si>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</si>
  <si>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</si>
  <si>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</si>
  <si>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</si>
  <si>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</si>
  <si>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</si>
  <si>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</si>
  <si>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</si>
  <si>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</si>
  <si>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</si>
  <si>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</si>
  <si>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</si>
  <si>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</si>
  <si>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</si>
  <si>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</si>
  <si>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</si>
  <si>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</si>
  <si>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</si>
  <si>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</si>
  <si>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</si>
  <si>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</si>
  <si>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</si>
  <si>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</si>
  <si>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</si>
  <si>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</si>
  <si>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</si>
  <si>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</si>
  <si>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</si>
  <si>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</si>
  <si>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</si>
  <si>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</si>
  <si>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</si>
  <si>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</si>
  <si>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</si>
  <si>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</si>
  <si>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</si>
  <si>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</si>
  <si>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</si>
  <si>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</si>
  <si>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</si>
  <si>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</si>
  <si>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</si>
  <si>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</si>
  <si>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</si>
  <si>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</si>
  <si>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</si>
  <si>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</si>
  <si>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</si>
  <si>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</si>
  <si>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</si>
  <si>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</si>
  <si>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</si>
  <si>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</si>
  <si>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</si>
  <si>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</si>
  <si>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</si>
  <si>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</si>
  <si>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</si>
  <si>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</si>
  <si>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</si>
  <si>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</si>
  <si>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</si>
  <si>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</si>
  <si>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</si>
  <si>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</si>
  <si>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</si>
  <si>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</si>
  <si>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</si>
  <si>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</si>
  <si>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</si>
  <si>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</si>
  <si>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</si>
  <si>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</si>
  <si>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</si>
  <si>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</si>
  <si>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</si>
  <si>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</si>
  <si>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</si>
  <si>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</si>
  <si>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</si>
  <si>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</si>
  <si>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</si>
  <si>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</si>
  <si>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</si>
  <si>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</si>
  <si>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</si>
  <si>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</si>
  <si>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</si>
  <si>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</si>
  <si>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</si>
  <si>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</si>
  <si>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</si>
  <si>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</si>
  <si>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</si>
  <si>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</si>
  <si>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</si>
  <si>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</si>
  <si>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</si>
  <si>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</si>
  <si>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</si>
  <si>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</si>
  <si>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</si>
  <si>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</si>
  <si>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</si>
  <si>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</si>
  <si>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</si>
  <si>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</si>
  <si>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</si>
  <si>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</si>
  <si>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</si>
  <si>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</si>
  <si>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</si>
  <si>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</si>
  <si>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</si>
  <si>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</si>
  <si>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</si>
  <si>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</si>
  <si>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</si>
  <si>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</si>
  <si>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</si>
  <si>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</si>
  <si>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</si>
  <si>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</si>
  <si>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</si>
  <si>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</si>
  <si>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</si>
  <si>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</si>
  <si>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</si>
  <si>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</si>
  <si>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</si>
  <si>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</si>
  <si>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</si>
  <si>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</si>
  <si>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</si>
  <si>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</si>
  <si>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</si>
  <si>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</si>
  <si>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</si>
  <si>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</si>
  <si>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</si>
  <si>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</si>
  <si>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</si>
  <si>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</si>
  <si>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</si>
  <si>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</si>
  <si>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</si>
  <si>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</si>
  <si>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</si>
  <si>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</si>
  <si>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</si>
  <si>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</si>
  <si>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</si>
  <si>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</si>
  <si>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</si>
  <si>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</si>
  <si>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</si>
  <si>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</si>
  <si>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</si>
  <si>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</si>
  <si>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</si>
  <si>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</si>
  <si>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</si>
  <si>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</si>
  <si>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</si>
  <si>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</si>
  <si>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</si>
  <si>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</si>
  <si>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</si>
  <si>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</si>
  <si>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</si>
  <si>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</si>
  <si>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</si>
  <si>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</si>
  <si>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</si>
  <si>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</si>
  <si>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</si>
  <si>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</si>
  <si>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</si>
  <si>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</si>
  <si>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</si>
  <si>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</si>
  <si>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</si>
  <si>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</si>
  <si>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</si>
  <si>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</si>
  <si>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</si>
  <si>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</si>
  <si>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</si>
  <si>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</si>
  <si>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</si>
  <si>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</si>
  <si>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</si>
  <si>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</si>
  <si>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</si>
  <si>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</si>
  <si>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</si>
  <si>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</si>
  <si>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</si>
  <si>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</si>
  <si>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</si>
  <si>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</si>
  <si>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</si>
  <si>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</si>
  <si>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</si>
  <si>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</si>
  <si>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</si>
  <si>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</si>
  <si>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</si>
  <si>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</si>
  <si>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</si>
  <si>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</si>
  <si>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</si>
  <si>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</si>
  <si>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</si>
  <si>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</si>
  <si>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</si>
  <si>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</si>
  <si>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</si>
  <si>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</si>
  <si>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</si>
  <si>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</si>
  <si>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</si>
  <si>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</si>
  <si>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</si>
  <si>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</si>
  <si>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</si>
  <si>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</si>
  <si>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</si>
  <si>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</si>
  <si>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</si>
  <si>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</si>
  <si>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</si>
  <si>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</si>
  <si>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</si>
  <si>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</si>
  <si>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</si>
  <si>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</si>
  <si>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</si>
  <si>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</si>
  <si>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</si>
  <si>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</si>
  <si>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</si>
  <si>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</si>
  <si>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</si>
  <si>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</si>
  <si>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</si>
  <si>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</si>
  <si>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</si>
  <si>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</si>
  <si>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</si>
  <si>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</si>
  <si>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</si>
  <si>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</si>
  <si>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</si>
  <si>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</si>
  <si>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</si>
  <si>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</si>
  <si>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</si>
  <si>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</si>
  <si>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</si>
  <si>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</si>
  <si>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</si>
  <si>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</si>
  <si>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</si>
  <si>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</si>
  <si>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</si>
  <si>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</si>
  <si>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</si>
  <si>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</si>
  <si>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</si>
  <si>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</si>
  <si>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</si>
  <si>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</si>
  <si>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</si>
  <si>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</si>
  <si>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</si>
  <si>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</si>
  <si>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</si>
  <si>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</si>
  <si>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</si>
  <si>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</si>
  <si>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</si>
  <si>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</si>
  <si>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</si>
  <si>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</si>
  <si>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</si>
  <si>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</si>
  <si>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</si>
  <si>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</si>
  <si>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</si>
  <si>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</si>
  <si>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</si>
  <si>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</si>
  <si>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</si>
  <si>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</si>
  <si>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</si>
  <si>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</si>
  <si>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</si>
  <si>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</si>
  <si>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</si>
  <si>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</si>
  <si>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</si>
  <si>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</si>
  <si>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</si>
  <si>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</si>
  <si>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</si>
  <si>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</si>
  <si>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</si>
  <si>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</si>
  <si>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</si>
  <si>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</si>
  <si>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</si>
  <si>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</si>
  <si>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</si>
  <si>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</si>
  <si>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</si>
  <si>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</si>
  <si>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</si>
  <si>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</si>
  <si>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</si>
  <si>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</si>
  <si>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</si>
  <si>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</si>
  <si>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</si>
  <si>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</si>
  <si>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</si>
  <si>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</si>
  <si>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</si>
  <si>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</si>
  <si>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</si>
  <si>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</si>
  <si>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</si>
  <si>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</si>
  <si>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</si>
  <si>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</si>
  <si>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</si>
  <si>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</si>
  <si>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</si>
  <si>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</si>
  <si>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</si>
  <si>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</si>
  <si>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</si>
  <si>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</si>
  <si>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</si>
  <si>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</si>
  <si>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</si>
  <si>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</si>
  <si>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</si>
  <si>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</si>
  <si>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</si>
  <si>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</si>
  <si>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</si>
  <si>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</si>
  <si>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</si>
  <si>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</si>
  <si>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</si>
  <si>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</si>
  <si>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</si>
  <si>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</si>
  <si>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</si>
  <si>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</si>
  <si>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</si>
  <si>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</si>
  <si>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</si>
  <si>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</si>
  <si>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</si>
  <si>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</si>
  <si>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</si>
  <si>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</si>
  <si>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</si>
  <si>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</si>
  <si>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</si>
  <si>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</si>
  <si>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</si>
  <si>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</si>
  <si>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</si>
  <si>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</si>
  <si>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</si>
  <si>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</si>
  <si>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</si>
  <si>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</si>
  <si>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</si>
  <si>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</si>
  <si>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</si>
  <si>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</si>
  <si>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</si>
  <si>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</si>
  <si>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</si>
  <si>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</si>
  <si>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</si>
  <si>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</si>
  <si>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</si>
  <si>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</si>
  <si>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</si>
  <si>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</si>
  <si>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</si>
  <si>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</si>
  <si>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</si>
  <si>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</si>
  <si>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</si>
  <si>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</si>
  <si>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</si>
  <si>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</si>
  <si>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</si>
  <si>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</si>
  <si>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</si>
  <si>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</si>
  <si>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</si>
  <si>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</si>
  <si>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</si>
  <si>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</si>
  <si>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</si>
  <si>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</si>
  <si>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</si>
  <si>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</si>
  <si>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</si>
  <si>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</si>
  <si>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</si>
  <si>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</si>
  <si>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</si>
  <si>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</si>
  <si>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</si>
  <si>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</si>
  <si>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</si>
  <si>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</si>
  <si>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</si>
  <si>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</si>
  <si>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</si>
  <si>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</si>
  <si>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</si>
  <si>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</si>
  <si>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</si>
  <si>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</si>
  <si>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</si>
  <si>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</si>
  <si>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</si>
  <si>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</si>
  <si>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</si>
  <si>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</si>
  <si>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</si>
  <si>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</si>
  <si>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</si>
  <si>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</si>
  <si>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</si>
  <si>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</si>
  <si>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</si>
  <si>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</si>
  <si>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</si>
  <si>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</si>
  <si>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</si>
  <si>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</si>
  <si>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</si>
  <si>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</si>
  <si>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</si>
  <si>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</si>
  <si>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</si>
  <si>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</si>
  <si>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</si>
  <si>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</si>
  <si>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</si>
  <si>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</si>
  <si>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</si>
  <si>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</si>
  <si>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</si>
  <si>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</si>
  <si>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</si>
  <si>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</si>
  <si>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</si>
  <si>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</si>
  <si>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</si>
  <si>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</si>
  <si>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</si>
  <si>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</si>
  <si>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</si>
  <si>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</si>
  <si>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</si>
  <si>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</si>
  <si>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</si>
  <si>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</si>
  <si>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</si>
  <si>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</si>
  <si>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</si>
  <si>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</si>
  <si>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</si>
  <si>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</si>
  <si>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</si>
  <si>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</si>
  <si>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</si>
  <si>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</si>
  <si>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</si>
  <si>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</si>
  <si>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</si>
  <si>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</si>
  <si>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</si>
  <si>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</si>
  <si>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</si>
  <si>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</si>
  <si>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</si>
  <si>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</si>
  <si>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</si>
  <si>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</si>
  <si>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</si>
  <si>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</si>
  <si>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</si>
  <si>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</si>
  <si>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</si>
  <si>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</si>
  <si>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</si>
  <si>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</si>
  <si>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</si>
  <si>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</si>
  <si>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</si>
  <si>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</si>
  <si>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</si>
  <si>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</si>
  <si>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</si>
  <si>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</si>
  <si>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</si>
  <si>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</si>
  <si>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</si>
  <si>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</si>
  <si>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</si>
  <si>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</si>
  <si>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</si>
  <si>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</si>
  <si>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</si>
  <si>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</si>
  <si>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</si>
  <si>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</si>
  <si>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</si>
  <si>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</si>
  <si>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</si>
  <si>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</si>
  <si>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</si>
  <si>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</si>
  <si>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</si>
  <si>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</si>
  <si>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</si>
  <si>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</si>
  <si>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</si>
  <si>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</si>
  <si>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</si>
  <si>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</si>
  <si>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</si>
  <si>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</si>
  <si>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</si>
  <si>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</si>
  <si>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</si>
  <si>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</si>
  <si>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</si>
  <si>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</si>
  <si>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</si>
  <si>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</si>
  <si>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</si>
  <si>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</si>
  <si>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</si>
  <si>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</si>
  <si>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</si>
  <si>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</si>
  <si>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</si>
  <si>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</si>
  <si>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</si>
  <si>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</si>
  <si>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</si>
  <si>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</si>
  <si>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</si>
  <si>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</si>
  <si>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</si>
  <si>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</si>
  <si>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</si>
  <si>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</si>
  <si>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</si>
  <si>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</si>
  <si>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</si>
  <si>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</si>
  <si>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</si>
  <si>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</si>
  <si>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</si>
  <si>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</si>
  <si>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</si>
  <si>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</si>
  <si>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</si>
  <si>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</si>
  <si>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</si>
  <si>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</si>
  <si>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</si>
  <si>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</si>
  <si>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</si>
  <si>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</si>
  <si>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</si>
  <si>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</si>
  <si>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</si>
  <si>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</si>
  <si>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</si>
  <si>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</si>
  <si>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</si>
  <si>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</si>
  <si>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</si>
  <si>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</si>
  <si>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</si>
  <si>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</si>
  <si>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</si>
  <si>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</si>
  <si>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</si>
  <si>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</si>
  <si>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</si>
  <si>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</si>
  <si>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</si>
  <si>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</si>
  <si>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</si>
  <si>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</si>
  <si>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</si>
  <si>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</si>
  <si>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</si>
  <si>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</si>
  <si>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</si>
  <si>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</si>
  <si>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</si>
  <si>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</si>
  <si>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</si>
  <si>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</si>
  <si>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</si>
  <si>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</si>
  <si>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</si>
  <si>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</si>
  <si>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</si>
  <si>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</si>
  <si>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</si>
  <si>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</si>
  <si>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</si>
  <si>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</si>
  <si>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</si>
  <si>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</si>
  <si>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</si>
  <si>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</si>
  <si>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</si>
  <si>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</si>
  <si>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</si>
  <si>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</si>
  <si>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</si>
  <si>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</si>
  <si>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</si>
  <si>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</si>
  <si>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</si>
  <si>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</si>
  <si>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</si>
  <si>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</si>
  <si>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</si>
  <si>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</si>
  <si>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</si>
  <si>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</si>
  <si>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</si>
  <si>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</si>
  <si>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</si>
  <si>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</si>
  <si>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</si>
  <si>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</si>
  <si>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</si>
  <si>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</si>
  <si>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</si>
  <si>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</si>
  <si>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</si>
  <si>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</si>
  <si>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</si>
  <si>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</si>
  <si>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</si>
  <si>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</si>
  <si>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</si>
  <si>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</si>
  <si>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</si>
  <si>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</si>
  <si>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</si>
  <si>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</si>
  <si>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</si>
  <si>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</si>
  <si>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</si>
  <si>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</si>
  <si>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</si>
  <si>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</si>
  <si>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</si>
  <si>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</si>
  <si>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</si>
  <si>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</si>
  <si>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</si>
  <si>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</si>
  <si>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</si>
  <si>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</si>
  <si>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</si>
  <si>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</si>
  <si>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</si>
  <si>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</si>
  <si>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</si>
  <si>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</si>
  <si>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</si>
  <si>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</si>
  <si>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</si>
  <si>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</si>
  <si>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</si>
  <si>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</si>
  <si>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</si>
  <si>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</si>
  <si>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</si>
  <si>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</si>
  <si>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</si>
  <si>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</si>
  <si>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</si>
  <si>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</si>
  <si>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</si>
  <si>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</si>
  <si>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</si>
  <si>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</si>
  <si>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</si>
  <si>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</si>
  <si>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</si>
  <si>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</si>
  <si>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</si>
  <si>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</si>
  <si>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</si>
  <si>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</si>
  <si>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</si>
  <si>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</si>
  <si>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</si>
  <si>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</si>
  <si>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</si>
  <si>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</si>
  <si>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</si>
  <si>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</si>
  <si>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</si>
  <si>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</si>
  <si>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</si>
  <si>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</si>
  <si>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</si>
  <si>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</si>
  <si>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</si>
  <si>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</si>
  <si>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</si>
  <si>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</si>
  <si>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</si>
  <si>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</si>
  <si>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</si>
  <si>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</si>
  <si>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</si>
  <si>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</si>
  <si>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</si>
  <si>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</si>
  <si>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</si>
  <si>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</si>
  <si>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</si>
  <si>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</si>
  <si>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</si>
  <si>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</si>
  <si>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</si>
  <si>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</si>
  <si>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</si>
  <si>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</si>
  <si>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</si>
  <si>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</si>
  <si>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</si>
  <si>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</si>
  <si>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</si>
  <si>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</si>
  <si>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</si>
  <si>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</si>
  <si>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</si>
  <si>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</si>
  <si>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</si>
  <si>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</si>
  <si>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</si>
  <si>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</si>
  <si>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</si>
  <si>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</si>
  <si>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</si>
  <si>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</si>
  <si>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</si>
  <si>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</si>
  <si>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</si>
  <si>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</si>
  <si>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</si>
  <si>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</si>
  <si>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</si>
  <si>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</si>
  <si>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</si>
  <si>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</si>
  <si>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</si>
  <si>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</si>
  <si>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</si>
  <si>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</si>
  <si>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</si>
  <si>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</si>
  <si>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</si>
  <si>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</si>
  <si>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</si>
  <si>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</si>
  <si>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</si>
  <si>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</si>
  <si>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</si>
  <si>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</si>
  <si>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</si>
  <si>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</si>
  <si>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</si>
  <si>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</si>
  <si>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</si>
  <si>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</si>
  <si>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</si>
  <si>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</si>
  <si>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</si>
  <si>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</si>
  <si>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</si>
  <si>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</si>
  <si>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</si>
  <si>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</si>
  <si>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</si>
  <si>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</si>
  <si>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</si>
  <si>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</si>
  <si>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</si>
  <si>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</si>
  <si>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</si>
  <si>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</si>
  <si>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</si>
  <si>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</si>
  <si>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</si>
  <si>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</si>
  <si>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</si>
  <si>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</si>
  <si>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</si>
  <si>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</si>
  <si>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</si>
  <si>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</si>
  <si>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</si>
  <si>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</si>
  <si>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</si>
  <si>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</si>
  <si>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</si>
  <si>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</si>
  <si>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</si>
  <si>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</si>
  <si>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</si>
  <si>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</si>
  <si>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</si>
  <si>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</si>
  <si>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</si>
  <si>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</si>
  <si>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</si>
  <si>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</si>
  <si>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</si>
  <si>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</si>
  <si>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</si>
  <si>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</si>
  <si>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</si>
  <si>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</si>
  <si>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</si>
  <si>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</si>
  <si>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</si>
  <si>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</si>
  <si>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</si>
  <si>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</si>
  <si>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</si>
  <si>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</si>
  <si>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</si>
  <si>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</si>
  <si>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</si>
  <si>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</si>
  <si>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</si>
  <si>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</si>
  <si>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</si>
  <si>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</si>
  <si>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</si>
  <si>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</si>
  <si>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</si>
  <si>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</si>
  <si>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</si>
  <si>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</si>
  <si>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</si>
  <si>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</si>
  <si>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</si>
  <si>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</si>
  <si>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</si>
  <si>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</si>
  <si>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</si>
  <si>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</si>
  <si>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</si>
  <si>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</si>
  <si>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</si>
  <si>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</si>
  <si>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</si>
  <si>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</si>
  <si>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</si>
  <si>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</si>
  <si>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</si>
  <si>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</si>
  <si>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</si>
  <si>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</si>
  <si>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</si>
  <si>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</si>
  <si>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</si>
  <si>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</si>
  <si>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</si>
  <si>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</si>
  <si>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</si>
  <si>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</si>
  <si>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</si>
  <si>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</si>
  <si>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</si>
  <si>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</si>
  <si>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</si>
  <si>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</si>
  <si>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</si>
  <si>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</si>
  <si>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</si>
  <si>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</si>
  <si>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</si>
  <si>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</si>
  <si>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</si>
  <si>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</si>
  <si>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</si>
  <si>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</si>
  <si>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</si>
  <si>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</si>
  <si>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</si>
  <si>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</si>
  <si>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</si>
  <si>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</si>
  <si>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</si>
  <si>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</si>
  <si>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</si>
  <si>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</si>
  <si>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</si>
  <si>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</si>
  <si>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</si>
  <si>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</si>
  <si>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</si>
  <si>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</si>
  <si>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</si>
  <si>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</si>
  <si>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</si>
  <si>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</si>
  <si>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</si>
  <si>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</si>
  <si>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</si>
  <si>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</si>
  <si>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</si>
  <si>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</si>
  <si>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</si>
  <si>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</si>
  <si>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</si>
  <si>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</si>
  <si>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</si>
  <si>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</si>
  <si>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</si>
  <si>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</si>
  <si>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</si>
  <si>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</si>
  <si>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</si>
  <si>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</si>
  <si>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</si>
  <si>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</si>
  <si>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</si>
  <si>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</si>
  <si>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</si>
  <si>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</si>
  <si>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</si>
  <si>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</si>
  <si>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</si>
  <si>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</si>
  <si>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</si>
  <si>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</si>
  <si>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</si>
  <si>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</si>
  <si>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</si>
  <si>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</si>
  <si>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</si>
  <si>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</si>
  <si>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</si>
  <si>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</si>
  <si>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</si>
  <si>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</si>
  <si>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</si>
  <si>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</si>
  <si>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</si>
  <si>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</si>
  <si>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</si>
  <si>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</si>
  <si>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</si>
  <si>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</si>
  <si>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</si>
  <si>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</si>
  <si>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</si>
  <si>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</si>
  <si>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</si>
  <si>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</si>
  <si>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</si>
  <si>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</si>
  <si>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</si>
  <si>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</si>
  <si>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</si>
  <si>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</si>
  <si>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</si>
  <si>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</si>
  <si>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</si>
  <si>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</si>
  <si>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</si>
  <si>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</si>
  <si>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</si>
  <si>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</si>
  <si>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</si>
  <si>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</si>
  <si>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</si>
  <si>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</si>
  <si>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</si>
  <si>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</si>
  <si>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</si>
  <si>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</si>
  <si>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</si>
  <si>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</si>
  <si>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</si>
  <si>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</si>
  <si>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</si>
  <si>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</si>
  <si>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</si>
  <si>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</si>
  <si>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</si>
  <si>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</si>
  <si>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</si>
  <si>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</si>
  <si>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</si>
  <si>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</si>
  <si>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</si>
  <si>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</si>
  <si>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</si>
  <si>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</si>
  <si>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</si>
  <si>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</si>
  <si>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</si>
  <si>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</si>
  <si>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</si>
  <si>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</si>
  <si>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</si>
  <si>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</si>
  <si>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</si>
  <si>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</si>
  <si>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</si>
  <si>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</si>
  <si>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</si>
  <si>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</si>
  <si>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</si>
  <si>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</si>
  <si>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</si>
  <si>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</si>
  <si>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</si>
  <si>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</si>
  <si>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</si>
  <si>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</si>
  <si>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</si>
  <si>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</si>
  <si>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</si>
  <si>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</si>
  <si>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</si>
  <si>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</si>
  <si>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</si>
  <si>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</si>
  <si>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</si>
  <si>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</si>
  <si>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</si>
  <si>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</si>
  <si>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</si>
  <si>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</si>
  <si>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</si>
  <si>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</si>
  <si>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</si>
  <si>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</si>
  <si>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</si>
  <si>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</si>
  <si>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</si>
  <si>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</si>
  <si>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</si>
  <si>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</si>
  <si>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</si>
  <si>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</si>
  <si>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</si>
  <si>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</si>
  <si>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</si>
  <si>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</si>
  <si>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</si>
  <si>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</si>
  <si>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</si>
  <si>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</si>
  <si>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</si>
  <si>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</si>
  <si>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</si>
  <si>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</si>
  <si>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</si>
  <si>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</si>
  <si>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</si>
  <si>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</si>
  <si>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</si>
  <si>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</si>
  <si>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</si>
  <si>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</si>
  <si>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</si>
  <si>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</si>
  <si>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</si>
  <si>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</si>
  <si>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</si>
  <si>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</si>
  <si>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</si>
  <si>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</si>
  <si>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</si>
  <si>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</si>
  <si>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</si>
  <si>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</si>
  <si>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</si>
  <si>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</si>
  <si>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</si>
  <si>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</si>
  <si>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</si>
  <si>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</si>
  <si>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</si>
  <si>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</si>
  <si>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</si>
  <si>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</si>
  <si>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</si>
  <si>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</si>
  <si>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</si>
  <si>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</si>
  <si>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</si>
  <si>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</si>
  <si>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</si>
  <si>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</si>
  <si>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</si>
  <si>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</si>
  <si>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</si>
  <si>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</si>
  <si>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</si>
  <si>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</si>
  <si>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</si>
  <si>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</si>
  <si>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</si>
  <si>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</si>
  <si>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</si>
  <si>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</si>
  <si>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</si>
  <si>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</si>
  <si>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</si>
  <si>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</si>
  <si>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</si>
  <si>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</si>
  <si>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</si>
  <si>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</si>
  <si>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</si>
  <si>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</si>
  <si>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</si>
  <si>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</si>
  <si>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</si>
  <si>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</si>
  <si>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</si>
  <si>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</si>
  <si>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</si>
  <si>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</si>
  <si>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</si>
  <si>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</si>
  <si>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</si>
  <si>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</si>
  <si>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</si>
  <si>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</si>
  <si>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</si>
  <si>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</si>
  <si>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</si>
  <si>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</si>
  <si>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</si>
  <si>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</si>
  <si>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</si>
  <si>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</si>
  <si>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</si>
  <si>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</si>
  <si>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</si>
  <si>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</si>
  <si>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</si>
  <si>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</si>
  <si>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</si>
  <si>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</si>
  <si>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</si>
  <si>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</si>
  <si>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</si>
  <si>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</si>
  <si>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</si>
  <si>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</si>
  <si>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</si>
  <si>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</si>
  <si>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</si>
  <si>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</si>
  <si>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</si>
  <si>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</si>
  <si>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</si>
  <si>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</si>
  <si>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</si>
  <si>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</si>
  <si>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</si>
  <si>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</si>
  <si>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</si>
  <si>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</si>
  <si>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</si>
  <si>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</si>
  <si>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</si>
  <si>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</si>
  <si>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</si>
  <si>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</si>
  <si>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</si>
  <si>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</si>
  <si>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</si>
  <si>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</si>
  <si>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</si>
  <si>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</si>
  <si>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</si>
  <si>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</si>
  <si>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</si>
  <si>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</si>
  <si>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</si>
  <si>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</si>
  <si>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</si>
  <si>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</si>
  <si>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</si>
  <si>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</si>
  <si>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</si>
  <si>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</si>
  <si>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</si>
  <si>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</si>
  <si>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</si>
  <si>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</si>
  <si>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</si>
  <si>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</si>
  <si>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</si>
  <si>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</si>
  <si>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</si>
  <si>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</si>
  <si>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</si>
  <si>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</si>
  <si>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</si>
  <si>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</si>
  <si>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</si>
  <si>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</si>
  <si>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</si>
  <si>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</si>
  <si>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</si>
  <si>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</si>
  <si>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</si>
  <si>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</si>
  <si>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</si>
  <si>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</si>
  <si>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</si>
  <si>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</si>
  <si>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</si>
  <si>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</si>
  <si>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</si>
  <si>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</si>
  <si>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</si>
  <si>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</si>
  <si>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</si>
  <si>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</si>
  <si>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</si>
  <si>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</si>
  <si>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</si>
  <si>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</si>
  <si>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</si>
  <si>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</si>
  <si>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</si>
  <si>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</si>
  <si>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</si>
  <si>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</si>
  <si>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</si>
  <si>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</si>
  <si>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</si>
  <si>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</si>
  <si>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</si>
  <si>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</si>
  <si>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</si>
  <si>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</si>
  <si>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</si>
  <si>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</si>
  <si>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</si>
  <si>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</si>
  <si>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</si>
  <si>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</si>
  <si>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</si>
  <si>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</si>
  <si>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</si>
  <si>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</si>
  <si>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</si>
  <si>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</si>
  <si>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</si>
  <si>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</si>
  <si>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</si>
  <si>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</si>
  <si>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</si>
  <si>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</si>
  <si>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</si>
  <si>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</si>
  <si>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</si>
  <si>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</si>
  <si>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</si>
  <si>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</si>
  <si>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</si>
  <si>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</si>
  <si>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</si>
  <si>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</si>
  <si>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</si>
  <si>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</si>
  <si>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</si>
  <si>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</si>
  <si>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</si>
  <si>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</si>
  <si>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</si>
  <si>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</si>
  <si>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</si>
  <si>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</si>
  <si>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</si>
  <si>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</si>
  <si>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</si>
  <si>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</si>
  <si>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</si>
  <si>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</si>
  <si>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</si>
  <si>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</si>
  <si>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</si>
  <si>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</si>
  <si>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</si>
  <si>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</si>
  <si>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</si>
  <si>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</si>
  <si>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</si>
  <si>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</si>
  <si>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</si>
  <si>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</si>
  <si>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</si>
  <si>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</si>
  <si>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</si>
  <si>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</si>
  <si>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</si>
  <si>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</si>
  <si>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</si>
  <si>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</si>
  <si>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</si>
  <si>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</si>
  <si>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</si>
  <si>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</si>
  <si>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</si>
  <si>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</si>
  <si>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</si>
  <si>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</si>
  <si>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</si>
  <si>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</si>
  <si>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</si>
  <si>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</si>
  <si>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</si>
  <si>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</si>
  <si>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</si>
  <si>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</si>
  <si>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</si>
  <si>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</si>
  <si>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</si>
  <si>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</si>
  <si>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</si>
  <si>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</si>
  <si>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</si>
  <si>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</si>
  <si>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</si>
  <si>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</si>
  <si>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</si>
  <si>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</si>
  <si>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</si>
  <si>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</si>
  <si>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</si>
  <si>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</si>
  <si>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</si>
  <si>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</si>
  <si>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</si>
  <si>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</si>
  <si>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</si>
  <si>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</si>
  <si>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</si>
  <si>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</si>
  <si>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</si>
  <si>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</si>
  <si>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</si>
  <si>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</si>
  <si>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</si>
  <si>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</si>
  <si>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</si>
  <si>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</si>
  <si>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</si>
  <si>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</si>
  <si>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</si>
  <si>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</si>
  <si>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</si>
  <si>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</si>
  <si>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</si>
  <si>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</si>
  <si>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</si>
  <si>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</si>
  <si>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</si>
  <si>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</si>
  <si>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</si>
  <si>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</si>
  <si>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</si>
  <si>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</si>
  <si>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</si>
  <si>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</si>
  <si>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</si>
  <si>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</si>
  <si>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</si>
  <si>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</si>
  <si>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</si>
  <si>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</si>
  <si>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</si>
  <si>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</si>
  <si>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</si>
  <si>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</si>
  <si>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</si>
  <si>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</si>
  <si>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</si>
  <si>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</si>
  <si>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</si>
  <si>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</si>
  <si>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</si>
  <si>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</si>
  <si>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</si>
  <si>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</si>
  <si>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</si>
  <si>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</si>
  <si>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</si>
  <si>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</si>
  <si>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</si>
  <si>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</si>
  <si>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</si>
  <si>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</si>
  <si>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</si>
  <si>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</si>
  <si>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</si>
  <si>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</si>
  <si>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</si>
  <si>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</si>
  <si>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</si>
  <si>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</si>
  <si>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</si>
  <si>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</si>
  <si>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</si>
  <si>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</si>
  <si>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</si>
  <si>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</si>
  <si>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</si>
  <si>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</si>
  <si>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</si>
  <si>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</si>
  <si>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</si>
  <si>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</si>
  <si>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</si>
  <si>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</si>
  <si>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</si>
  <si>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</si>
  <si>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</si>
  <si>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</si>
  <si>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</si>
  <si>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</si>
  <si>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</si>
  <si>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</si>
  <si>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</si>
  <si>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</si>
  <si>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</si>
  <si>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</si>
  <si>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</si>
  <si>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</si>
  <si>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</si>
  <si>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</si>
  <si>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</si>
  <si>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</si>
  <si>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</si>
  <si>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</si>
  <si>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</si>
  <si>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</si>
  <si>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</si>
  <si>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</si>
  <si>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</si>
  <si>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</si>
  <si>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</si>
  <si>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</si>
  <si>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</si>
  <si>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</si>
  <si>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</si>
  <si>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</si>
  <si>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</si>
  <si>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</si>
  <si>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</si>
  <si>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</si>
  <si>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</si>
  <si>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</si>
  <si>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</si>
  <si>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</si>
  <si>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</si>
  <si>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</si>
  <si>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</si>
  <si>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</si>
  <si>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</si>
  <si>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</si>
  <si>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</si>
  <si>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</si>
  <si>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</si>
  <si>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</si>
  <si>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</si>
  <si>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</si>
  <si>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</si>
  <si>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</si>
  <si>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</si>
  <si>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</si>
  <si>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</si>
  <si>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</si>
  <si>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</si>
  <si>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</si>
  <si>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</si>
  <si>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</si>
  <si>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</si>
  <si>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</si>
  <si>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</si>
  <si>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</si>
  <si>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</si>
  <si>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</si>
  <si>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</si>
  <si>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</si>
  <si>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</si>
  <si>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</si>
  <si>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</si>
  <si>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</si>
  <si>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</si>
  <si>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</si>
  <si>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</si>
  <si>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</si>
  <si>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</si>
  <si>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</si>
  <si>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</si>
  <si>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</si>
  <si>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</si>
  <si>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</si>
  <si>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</si>
  <si>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</si>
  <si>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</si>
  <si>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</si>
  <si>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</si>
  <si>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</si>
  <si>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</si>
  <si>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</si>
  <si>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</si>
  <si>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</si>
  <si>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</si>
  <si>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</si>
  <si>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</si>
  <si>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</si>
  <si>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</si>
  <si>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</si>
  <si>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</si>
  <si>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</si>
  <si>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</si>
  <si>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</si>
  <si>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</si>
  <si>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</si>
  <si>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</si>
  <si>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</si>
  <si>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</si>
  <si>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</si>
  <si>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</si>
  <si>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</si>
  <si>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</si>
  <si>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</si>
  <si>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</si>
  <si>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</si>
  <si>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</si>
  <si>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</si>
  <si>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</si>
  <si>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</si>
  <si>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</si>
  <si>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</si>
  <si>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</si>
  <si>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</si>
  <si>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</si>
  <si>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</si>
  <si>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</si>
  <si>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</si>
  <si>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</si>
  <si>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</si>
  <si>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</si>
  <si>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</si>
  <si>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</si>
  <si>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</si>
  <si>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</si>
  <si>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</si>
  <si>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</si>
  <si>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</si>
  <si>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</si>
  <si>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</si>
  <si>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</si>
  <si>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</si>
  <si>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</si>
  <si>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</si>
  <si>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</si>
  <si>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</si>
  <si>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</si>
  <si>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</si>
  <si>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</si>
  <si>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</si>
  <si>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</si>
  <si>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</si>
  <si>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</si>
  <si>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</si>
  <si>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</si>
  <si>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</si>
  <si>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</si>
  <si>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</si>
  <si>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</si>
  <si>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</si>
  <si>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</si>
  <si>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</si>
  <si>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</si>
  <si>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</si>
  <si>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</si>
  <si>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</si>
  <si>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</si>
  <si>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</si>
  <si>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</si>
  <si>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</si>
  <si>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</si>
  <si>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</si>
  <si>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</si>
  <si>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</si>
  <si>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</si>
  <si>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</si>
  <si>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</si>
  <si>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</si>
  <si>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</si>
  <si>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</si>
  <si>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</si>
  <si>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</si>
  <si>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</si>
  <si>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</si>
  <si>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</si>
  <si>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</si>
  <si>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</si>
  <si>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</si>
  <si>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</si>
  <si>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</si>
  <si>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</si>
  <si>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</si>
  <si>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</si>
  <si>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</si>
  <si>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</si>
  <si>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</si>
  <si>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</si>
  <si>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</si>
  <si>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</si>
  <si>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</si>
  <si>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</si>
  <si>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</si>
  <si>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</si>
  <si>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</si>
  <si>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</si>
  <si>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</si>
  <si>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</si>
  <si>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</si>
  <si>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</si>
  <si>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</si>
  <si>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</si>
  <si>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</si>
  <si>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</si>
  <si>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</si>
  <si>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</si>
  <si>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</si>
  <si>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</si>
  <si>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</si>
  <si>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</si>
  <si>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</si>
  <si>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</si>
  <si>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</si>
  <si>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</si>
  <si>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</si>
  <si>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</si>
  <si>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</si>
  <si>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</si>
  <si>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</si>
  <si>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</si>
  <si>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</si>
  <si>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</si>
  <si>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</si>
  <si>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</si>
  <si>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</si>
  <si>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</si>
  <si>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</si>
  <si>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</si>
  <si>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</si>
  <si>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</si>
  <si>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</si>
  <si>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</si>
  <si>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</si>
  <si>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</si>
  <si>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</si>
  <si>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</si>
  <si>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</si>
  <si>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</si>
  <si>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</si>
  <si>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</si>
  <si>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</si>
  <si>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</si>
  <si>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</si>
  <si>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</si>
  <si>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</si>
  <si>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</si>
  <si>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</si>
  <si>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</si>
  <si>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</si>
  <si>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</si>
  <si>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</si>
  <si>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</si>
  <si>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</si>
  <si>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</si>
  <si>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</si>
  <si>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</si>
  <si>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</si>
  <si>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</si>
  <si>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</si>
  <si>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</si>
  <si>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</si>
  <si>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</si>
  <si>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</si>
  <si>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</si>
  <si>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</si>
  <si>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</si>
  <si>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</si>
  <si>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</si>
  <si>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</si>
  <si>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</si>
  <si>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</si>
  <si>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</si>
  <si>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</si>
  <si>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</si>
  <si>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</si>
  <si>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</si>
  <si>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</si>
  <si>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</si>
  <si>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</si>
  <si>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</si>
  <si>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</si>
  <si>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</si>
  <si>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</si>
  <si>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</si>
  <si>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</si>
  <si>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</si>
  <si>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</si>
  <si>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</si>
  <si>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</si>
  <si>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</si>
  <si>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</si>
  <si>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</si>
  <si>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</si>
  <si>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</si>
  <si>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</si>
  <si>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</si>
  <si>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</si>
  <si>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</si>
  <si>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</si>
  <si>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</si>
  <si>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</si>
  <si>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</si>
  <si>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</si>
  <si>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</si>
  <si>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</si>
  <si>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</si>
  <si>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</si>
  <si>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</si>
  <si>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</si>
  <si>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</si>
  <si>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</si>
  <si>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</si>
  <si>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</si>
  <si>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</si>
  <si>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</si>
  <si>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</si>
  <si>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</si>
  <si>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</si>
  <si>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</si>
  <si>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</si>
  <si>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</si>
  <si>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</si>
  <si>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</si>
  <si>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</si>
  <si>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</si>
  <si>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</si>
  <si>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</si>
  <si>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</si>
  <si>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</si>
  <si>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</si>
  <si>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</si>
  <si>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</si>
  <si>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</si>
  <si>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</si>
  <si>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</si>
  <si>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</si>
  <si>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</si>
  <si>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</si>
  <si>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</si>
  <si>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</si>
  <si>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</si>
  <si>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</si>
  <si>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</si>
  <si>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</si>
  <si>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</si>
  <si>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</si>
  <si>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</si>
  <si>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</si>
  <si>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</si>
  <si>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</si>
  <si>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</si>
  <si>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</si>
  <si>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</si>
  <si>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</si>
  <si>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</si>
  <si>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</si>
  <si>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</si>
  <si>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</si>
  <si>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</si>
  <si>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</si>
  <si>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</si>
  <si>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</si>
  <si>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</si>
  <si>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</si>
  <si>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</si>
  <si>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</si>
  <si>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</si>
  <si>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</si>
  <si>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</si>
  <si>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</si>
  <si>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</si>
  <si>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</si>
  <si>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</si>
  <si>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</si>
  <si>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</si>
  <si>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</si>
  <si>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</si>
  <si>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</si>
  <si>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</si>
  <si>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</si>
  <si>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</si>
  <si>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</si>
  <si>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</si>
  <si>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</si>
  <si>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</si>
  <si>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</si>
  <si>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</si>
  <si>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</si>
  <si>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</si>
  <si>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</si>
  <si>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</si>
  <si>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</si>
  <si>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</si>
  <si>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</si>
  <si>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</si>
  <si>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</si>
  <si>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</si>
  <si>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</si>
  <si>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</si>
  <si>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</si>
  <si>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</si>
  <si>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</si>
  <si>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</si>
  <si>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</si>
  <si>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</si>
  <si>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</si>
  <si>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</si>
  <si>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</si>
  <si>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</si>
  <si>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</si>
  <si>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</si>
  <si>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</si>
  <si>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</si>
  <si>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</si>
  <si>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</si>
  <si>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</si>
  <si>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</si>
  <si>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</si>
  <si>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</si>
  <si>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</si>
  <si>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</si>
  <si>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</si>
  <si>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</si>
  <si>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</si>
  <si>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</si>
  <si>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</si>
  <si>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</si>
  <si>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</si>
  <si>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</si>
  <si>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</si>
  <si>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</si>
  <si>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</si>
  <si>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</si>
  <si>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</si>
  <si>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</si>
  <si>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</si>
  <si>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</si>
  <si>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</si>
  <si>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</si>
  <si>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</si>
  <si>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</si>
  <si>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</si>
  <si>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</si>
  <si>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</si>
  <si>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</si>
  <si>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</si>
  <si>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</si>
  <si>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</si>
  <si>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</si>
  <si>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</si>
  <si>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</si>
  <si>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</si>
  <si>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</si>
  <si>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</si>
  <si>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</si>
  <si>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</si>
  <si>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</si>
  <si>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</si>
  <si>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</si>
  <si>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</si>
  <si>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</si>
  <si>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</si>
  <si>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</si>
  <si>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</si>
  <si>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</si>
  <si>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</si>
  <si>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</si>
  <si>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</si>
  <si>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</si>
  <si>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</si>
  <si>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</si>
  <si>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</si>
  <si>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</si>
  <si>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</si>
  <si>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</si>
  <si>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</si>
  <si>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</si>
  <si>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</si>
  <si>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</si>
  <si>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</si>
  <si>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</si>
  <si>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</si>
  <si>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</si>
  <si>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</si>
  <si>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</si>
  <si>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</si>
  <si>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</si>
  <si>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</si>
  <si>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</si>
  <si>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</si>
  <si>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</si>
  <si>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</si>
  <si>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</si>
  <si>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</si>
  <si>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</si>
  <si>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</si>
  <si>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</si>
  <si>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</si>
  <si>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</si>
  <si>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</si>
  <si>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</si>
  <si>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</si>
  <si>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</si>
  <si>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</si>
  <si>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</si>
  <si>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</si>
  <si>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</si>
  <si>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</si>
  <si>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</si>
  <si>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</si>
  <si>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</si>
  <si>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</si>
  <si>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</si>
  <si>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</si>
  <si>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</si>
  <si>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</si>
  <si>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</si>
  <si>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</si>
  <si>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</si>
  <si>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</si>
  <si>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</si>
  <si>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</si>
  <si>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</si>
  <si>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</si>
  <si>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</si>
  <si>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</si>
  <si>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</si>
  <si>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</si>
  <si>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</si>
  <si>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</si>
  <si>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</si>
  <si>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</si>
  <si>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</si>
  <si>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</si>
  <si>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</si>
  <si>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</si>
  <si>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</si>
  <si>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</si>
  <si>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</si>
  <si>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</si>
  <si>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</si>
  <si>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</si>
  <si>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</si>
  <si>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</si>
  <si>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</si>
  <si>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</si>
  <si>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</si>
  <si>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</si>
  <si>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</si>
  <si>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</si>
  <si>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</si>
  <si>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</si>
  <si>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</si>
  <si>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</si>
  <si>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</si>
  <si>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</si>
  <si>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</si>
  <si>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</si>
  <si>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</si>
  <si>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</si>
  <si>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</si>
  <si>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</si>
  <si>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</si>
  <si>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</si>
  <si>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</si>
  <si>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</si>
  <si>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</si>
  <si>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</si>
  <si>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</si>
  <si>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</si>
  <si>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</si>
  <si>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</si>
  <si>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</si>
  <si>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</si>
  <si>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</si>
  <si>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</si>
  <si>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</si>
  <si>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</si>
  <si>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</si>
  <si>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</si>
  <si>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</si>
  <si>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</si>
  <si>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</si>
  <si>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</si>
  <si>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</si>
  <si>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</si>
  <si>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</si>
  <si>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</si>
  <si>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</si>
  <si>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</si>
  <si>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</si>
  <si>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</si>
  <si>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</si>
  <si>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</si>
  <si>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</si>
  <si>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</si>
  <si>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</si>
  <si>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</si>
  <si>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</si>
  <si>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</si>
  <si>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</si>
  <si>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</si>
  <si>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</si>
  <si>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</si>
  <si>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</si>
  <si>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</si>
  <si>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</si>
  <si>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</si>
  <si>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</si>
  <si>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</si>
  <si>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</si>
  <si>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</si>
  <si>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</si>
  <si>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</si>
  <si>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</si>
  <si>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</si>
  <si>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</si>
  <si>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</si>
  <si>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</si>
  <si>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</si>
  <si>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</si>
  <si>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</si>
  <si>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</si>
  <si>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</si>
  <si>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</si>
  <si>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</si>
  <si>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</si>
  <si>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</si>
  <si>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</si>
  <si>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</si>
  <si>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</si>
  <si>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</si>
  <si>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</si>
  <si>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</si>
  <si>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</si>
  <si>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</si>
  <si>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</si>
  <si>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</si>
  <si>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</si>
  <si>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</si>
  <si>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</si>
  <si>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</si>
  <si>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</si>
  <si>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</si>
  <si>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</si>
  <si>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</si>
  <si>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</si>
  <si>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</si>
  <si>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</si>
  <si>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</si>
  <si>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</si>
  <si>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</si>
  <si>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</si>
  <si>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</si>
  <si>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</si>
  <si>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</si>
  <si>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</si>
  <si>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</si>
  <si>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</si>
  <si>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</si>
  <si>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</si>
  <si>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</si>
  <si>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</si>
  <si>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</si>
  <si>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</si>
  <si>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</si>
  <si>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</si>
  <si>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</si>
  <si>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</si>
  <si>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</si>
  <si>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</si>
  <si>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</si>
  <si>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</si>
  <si>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</si>
  <si>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</si>
  <si>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</si>
  <si>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</si>
  <si>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</si>
  <si>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</si>
  <si>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</si>
  <si>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</si>
  <si>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</si>
  <si>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</si>
  <si>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</si>
  <si>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</si>
  <si>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</si>
  <si>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</si>
  <si>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</si>
  <si>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</si>
  <si>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</si>
  <si>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</si>
  <si>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</si>
  <si>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</si>
  <si>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</si>
  <si>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</si>
  <si>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</si>
  <si>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</si>
  <si>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</si>
  <si>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</si>
  <si>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</si>
  <si>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</si>
  <si>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</si>
  <si>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</si>
  <si>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</si>
  <si>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</si>
  <si>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</si>
  <si>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</si>
  <si>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</si>
  <si>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</si>
  <si>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</si>
  <si>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</si>
  <si>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</si>
  <si>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</si>
  <si>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</si>
  <si>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</si>
  <si>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</si>
  <si>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</si>
  <si>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</si>
  <si>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</si>
  <si>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</si>
  <si>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</si>
  <si>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</si>
  <si>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</si>
  <si>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</si>
  <si>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</si>
  <si>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</si>
  <si>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</si>
  <si>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</si>
  <si>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</si>
  <si>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</si>
  <si>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</si>
  <si>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</si>
  <si>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</si>
  <si>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</si>
  <si>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</si>
  <si>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</si>
  <si>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</si>
  <si>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</si>
  <si>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</si>
  <si>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</si>
  <si>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</si>
  <si>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</si>
  <si>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</si>
  <si>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</si>
  <si>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</si>
  <si>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</si>
  <si>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</si>
  <si>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</si>
  <si>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</si>
  <si>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</si>
  <si>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</si>
  <si>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</si>
  <si>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</si>
  <si>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</si>
  <si>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</si>
  <si>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</si>
  <si>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</si>
  <si>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</si>
  <si>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</si>
  <si>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</si>
  <si>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</si>
  <si>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</si>
  <si>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</si>
  <si>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</si>
  <si>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</si>
  <si>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</si>
  <si>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</si>
  <si>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</si>
  <si>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</si>
  <si>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</si>
  <si>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</si>
  <si>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</si>
  <si>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</si>
  <si>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</si>
  <si>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</si>
  <si>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</si>
  <si>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</si>
  <si>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</si>
  <si>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</si>
  <si>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</si>
  <si>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</si>
  <si>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</si>
  <si>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</si>
  <si>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</si>
  <si>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</si>
  <si>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</si>
  <si>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</si>
  <si>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</si>
  <si>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</si>
  <si>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</si>
  <si>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</si>
  <si>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</si>
  <si>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</si>
  <si>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</si>
  <si>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</si>
  <si>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</si>
  <si>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</si>
  <si>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</si>
  <si>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</si>
  <si>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</si>
  <si>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</si>
  <si>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</si>
  <si>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</si>
  <si>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</si>
  <si>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</si>
  <si>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</si>
  <si>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</si>
  <si>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</si>
  <si>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</si>
  <si>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</si>
  <si>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</si>
  <si>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</si>
  <si>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</si>
  <si>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</si>
  <si>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</si>
  <si>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</si>
  <si>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</si>
  <si>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</si>
  <si>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</si>
  <si>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</si>
  <si>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</si>
  <si>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</si>
  <si>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</si>
  <si>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</si>
  <si>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</si>
  <si>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</si>
  <si>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</si>
  <si>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</si>
  <si>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</si>
  <si>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</si>
  <si>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</si>
  <si>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</si>
  <si>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</si>
  <si>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</si>
  <si>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</si>
  <si>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</si>
  <si>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</si>
  <si>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</si>
  <si>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</si>
  <si>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</si>
  <si>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</si>
  <si>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</si>
  <si>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</si>
  <si>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</si>
  <si>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</si>
  <si>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</si>
  <si>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</si>
  <si>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</si>
  <si>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</si>
  <si>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</si>
  <si>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</si>
  <si>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</si>
  <si>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</si>
  <si>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</si>
  <si>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</si>
  <si>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</si>
  <si>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</si>
  <si>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</si>
  <si>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</si>
  <si>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</si>
  <si>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</si>
  <si>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</si>
  <si>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</si>
  <si>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</si>
  <si>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</si>
  <si>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</si>
  <si>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</si>
  <si>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</si>
  <si>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</si>
  <si>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</si>
  <si>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</si>
  <si>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</si>
  <si>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</si>
  <si>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</si>
  <si>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</si>
  <si>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</si>
  <si>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</si>
  <si>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</si>
  <si>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</si>
  <si>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</si>
  <si>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</si>
  <si>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</si>
  <si>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</si>
  <si>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</si>
  <si>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</si>
  <si>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</si>
  <si>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</si>
  <si>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</si>
  <si>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</si>
  <si>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</si>
  <si>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</si>
  <si>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</si>
  <si>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</si>
  <si>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</si>
  <si>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</si>
  <si>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</si>
  <si>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</si>
  <si>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</si>
  <si>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</si>
  <si>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</si>
  <si>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</si>
  <si>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</si>
  <si>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</si>
  <si>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</si>
  <si>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</si>
  <si>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</si>
  <si>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</si>
  <si>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</si>
  <si>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</si>
  <si>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</si>
  <si>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</si>
  <si>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</si>
  <si>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</si>
  <si>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</si>
  <si>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</si>
  <si>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</si>
  <si>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</si>
  <si>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</si>
  <si>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</si>
  <si>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</si>
  <si>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</si>
  <si>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</si>
  <si>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</si>
  <si>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</si>
  <si>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</si>
  <si>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</si>
  <si>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</si>
  <si>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</si>
  <si>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</si>
  <si>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</si>
  <si>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</si>
  <si>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</si>
  <si>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</si>
  <si>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</si>
  <si>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</si>
  <si>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</si>
  <si>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</si>
  <si>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</si>
  <si>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</si>
  <si>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</si>
  <si>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</si>
  <si>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</si>
  <si>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</si>
  <si>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</si>
  <si>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</si>
  <si>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</si>
  <si>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</si>
  <si>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</si>
  <si>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</si>
  <si>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</si>
  <si>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</si>
  <si>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</si>
  <si>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</si>
  <si>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</si>
  <si>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</si>
  <si>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</si>
  <si>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</si>
  <si>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</si>
  <si>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</si>
  <si>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</si>
  <si>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</si>
  <si>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</si>
  <si>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</si>
  <si>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</si>
  <si>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</si>
  <si>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</si>
  <si>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</si>
  <si>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</si>
  <si>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</si>
  <si>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</si>
  <si>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</si>
  <si>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</si>
  <si>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</si>
  <si>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</si>
  <si>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</si>
  <si>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</si>
  <si>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</si>
  <si>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</si>
  <si>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</si>
  <si>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</si>
  <si>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</si>
  <si>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</si>
  <si>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</si>
  <si>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</si>
  <si>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</si>
  <si>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</si>
  <si>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</si>
  <si>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</si>
  <si>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</si>
  <si>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</si>
  <si>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</si>
  <si>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</si>
  <si>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</si>
  <si>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</si>
  <si>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</si>
  <si>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</si>
  <si>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</si>
  <si>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</si>
  <si>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</si>
  <si>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</si>
  <si>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</si>
  <si>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</si>
  <si>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</si>
  <si>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</si>
  <si>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</si>
  <si>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</si>
  <si>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</si>
  <si>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</si>
  <si>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</si>
  <si>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</si>
  <si>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</si>
  <si>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</si>
  <si>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</si>
  <si>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</si>
  <si>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</si>
  <si>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</si>
  <si>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</si>
  <si>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</si>
  <si>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</si>
  <si>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</si>
  <si>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</si>
  <si>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</si>
  <si>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</si>
  <si>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</si>
  <si>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</si>
  <si>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</si>
  <si>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</si>
  <si>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</si>
  <si>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</si>
  <si>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</si>
  <si>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</si>
  <si>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</si>
  <si>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</si>
  <si>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</si>
  <si>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</si>
  <si>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</si>
  <si>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</si>
  <si>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</si>
  <si>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</si>
  <si>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</si>
  <si>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</si>
  <si>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</si>
  <si>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</si>
  <si>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</si>
  <si>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</si>
  <si>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</si>
  <si>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</si>
  <si>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</si>
  <si>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</si>
  <si>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</si>
  <si>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</si>
  <si>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</si>
  <si>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</si>
  <si>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</si>
  <si>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</si>
  <si>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</si>
  <si>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</si>
  <si>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</si>
  <si>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</si>
  <si>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</si>
  <si>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</si>
  <si>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</si>
  <si>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</si>
  <si>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</si>
  <si>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</si>
  <si>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</si>
  <si>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</si>
  <si>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</si>
  <si>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</si>
  <si>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</si>
  <si>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</si>
  <si>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</si>
  <si>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</si>
  <si>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</si>
  <si>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</si>
  <si>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</si>
  <si>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</si>
  <si>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</si>
  <si>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</si>
  <si>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</si>
  <si>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</si>
  <si>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</si>
  <si>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</si>
  <si>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</si>
  <si>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</si>
  <si>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</si>
  <si>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</si>
  <si>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</si>
  <si>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</si>
  <si>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</si>
  <si>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</si>
  <si>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</si>
  <si>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</si>
  <si>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</si>
  <si>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</si>
  <si>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</si>
  <si>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</si>
  <si>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</si>
  <si>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</si>
  <si>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</si>
  <si>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</si>
  <si>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</si>
  <si>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</si>
  <si>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</si>
  <si>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</si>
  <si>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</si>
  <si>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</si>
  <si>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</si>
  <si>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</si>
  <si>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</si>
  <si>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</si>
  <si>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</si>
  <si>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</si>
  <si>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</si>
  <si>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</si>
  <si>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</si>
  <si>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</si>
  <si>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</si>
  <si>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</si>
  <si>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</si>
  <si>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</si>
  <si>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</si>
  <si>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</si>
  <si>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</si>
  <si>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</si>
  <si>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</si>
  <si>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</si>
  <si>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</si>
  <si>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</si>
  <si>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</si>
  <si>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</si>
  <si>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</si>
  <si>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</si>
  <si>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</si>
  <si>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</si>
  <si>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</si>
  <si>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</si>
  <si>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</si>
  <si>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</si>
  <si>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</si>
  <si>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</si>
  <si>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</si>
  <si>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</si>
  <si>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</si>
  <si>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</si>
  <si>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</si>
  <si>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</si>
  <si>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</si>
  <si>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</si>
  <si>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</si>
  <si>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</si>
  <si>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</si>
  <si>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</si>
  <si>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</si>
  <si>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</si>
  <si>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</si>
  <si>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</si>
  <si>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</si>
  <si>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</si>
  <si>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</si>
  <si>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</si>
  <si>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</si>
  <si>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</si>
  <si>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</si>
  <si>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</si>
  <si>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</si>
  <si>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</si>
  <si>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</si>
  <si>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</si>
  <si>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</si>
  <si>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</si>
  <si>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</si>
  <si>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</si>
  <si>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</si>
  <si>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</si>
  <si>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</si>
  <si>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</si>
  <si>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</si>
  <si>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</si>
  <si>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</si>
  <si>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</si>
  <si>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</si>
  <si>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</si>
  <si>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</si>
  <si>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</si>
  <si>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</si>
  <si>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</si>
  <si>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</si>
  <si>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</si>
  <si>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</si>
  <si>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</si>
  <si>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</si>
  <si>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</si>
  <si>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</si>
  <si>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</si>
  <si>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</si>
  <si>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</si>
  <si>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</si>
  <si>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</si>
  <si>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</si>
  <si>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</si>
  <si>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</si>
  <si>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</si>
  <si>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</si>
  <si>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</si>
  <si>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</si>
  <si>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</si>
  <si>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</si>
  <si>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</si>
  <si>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</si>
  <si>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</si>
  <si>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</si>
  <si>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</si>
  <si>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</si>
  <si>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</si>
  <si>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</si>
  <si>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</si>
  <si>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</si>
  <si>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</si>
  <si>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</si>
  <si>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</si>
  <si>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</si>
  <si>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</si>
  <si>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</si>
  <si>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</si>
  <si>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</si>
  <si>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</si>
  <si>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</si>
  <si>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</si>
  <si>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</si>
  <si>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</si>
  <si>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</si>
  <si>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</si>
  <si>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</si>
  <si>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</si>
  <si>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</si>
  <si>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</si>
  <si>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</si>
  <si>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</si>
  <si>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</si>
  <si>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</si>
  <si>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</si>
  <si>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</si>
  <si>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</si>
  <si>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</si>
  <si>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</si>
  <si>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</si>
  <si>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</si>
  <si>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</si>
  <si>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</si>
  <si>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</si>
  <si>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</si>
  <si>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</si>
  <si>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</si>
  <si>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</si>
  <si>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</si>
  <si>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</si>
  <si>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</si>
  <si>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</si>
  <si>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</si>
  <si>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</si>
  <si>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</si>
  <si>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</si>
  <si>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</si>
  <si>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</si>
  <si>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</si>
  <si>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</si>
  <si>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</si>
  <si>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</si>
  <si>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</si>
  <si>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</si>
  <si>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</si>
  <si>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</si>
  <si>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</si>
  <si>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</si>
  <si>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</si>
  <si>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</si>
  <si>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</si>
  <si>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</si>
  <si>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</si>
  <si>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</si>
  <si>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</si>
  <si>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</si>
  <si>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</si>
  <si>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</si>
  <si>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</si>
  <si>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</si>
  <si>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</si>
  <si>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</si>
  <si>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</si>
  <si>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</si>
  <si>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</si>
  <si>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</si>
  <si>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</si>
  <si>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</si>
  <si>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</si>
  <si>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</si>
  <si>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</si>
  <si>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</si>
  <si>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</si>
  <si>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</si>
  <si>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</si>
  <si>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</si>
  <si>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</si>
  <si>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</si>
  <si>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</si>
  <si>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</si>
  <si>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</si>
  <si>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</si>
  <si>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</si>
  <si>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</si>
  <si>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</si>
  <si>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</si>
  <si>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</si>
  <si>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</si>
  <si>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</si>
  <si>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</si>
  <si>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</si>
  <si>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</si>
  <si>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</si>
  <si>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</si>
  <si>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</si>
  <si>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</si>
  <si>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</si>
  <si>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</si>
  <si>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</si>
  <si>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</si>
  <si>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</si>
  <si>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</si>
  <si>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</si>
  <si>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</si>
  <si>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</si>
  <si>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</si>
  <si>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</si>
  <si>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</si>
  <si>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</si>
  <si>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</si>
  <si>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</si>
  <si>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</si>
  <si>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</si>
  <si>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</si>
  <si>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</si>
  <si>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</si>
  <si>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</si>
  <si>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</si>
  <si>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</si>
  <si>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</si>
  <si>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</si>
  <si>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</si>
  <si>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</si>
  <si>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</si>
  <si>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</si>
  <si>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</si>
  <si>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</si>
  <si>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</si>
  <si>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</si>
  <si>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</si>
  <si>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</si>
  <si>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</si>
  <si>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</si>
  <si>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</si>
  <si>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</si>
  <si>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</si>
  <si>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</si>
  <si>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</si>
  <si>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</si>
  <si>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</si>
  <si>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</si>
  <si>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</si>
  <si>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</si>
  <si>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</si>
  <si>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</si>
  <si>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</si>
  <si>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</si>
  <si>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</si>
  <si>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</si>
  <si>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</si>
  <si>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</si>
  <si>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</si>
  <si>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</si>
  <si>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</si>
  <si>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</si>
  <si>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</si>
  <si>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</si>
  <si>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</si>
  <si>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</si>
  <si>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</si>
  <si>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</si>
  <si>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</si>
  <si>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</si>
  <si>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</si>
  <si>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</si>
  <si>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</si>
  <si>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</si>
  <si>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</si>
  <si>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</si>
  <si>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</si>
  <si>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</si>
  <si>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</si>
  <si>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</si>
  <si>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</si>
  <si>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</si>
  <si>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</si>
  <si>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</si>
  <si>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</si>
  <si>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</si>
  <si>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</si>
  <si>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</si>
  <si>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</si>
  <si>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</si>
  <si>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</si>
  <si>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</si>
  <si>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</si>
  <si>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</si>
  <si>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</si>
  <si>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</si>
  <si>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</si>
  <si>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</si>
  <si>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</si>
  <si>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</si>
  <si>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</si>
  <si>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</si>
  <si>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</si>
  <si>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</si>
  <si>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</si>
  <si>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</si>
  <si>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</si>
  <si>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</si>
  <si>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</si>
  <si>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</si>
  <si>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</si>
  <si>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</si>
  <si>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</si>
  <si>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</si>
  <si>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</si>
  <si>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</si>
  <si>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</si>
  <si>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</si>
  <si>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</si>
  <si>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</si>
  <si>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</si>
  <si>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</si>
  <si>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</si>
  <si>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</si>
  <si>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</si>
  <si>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</si>
  <si>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</si>
  <si>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</si>
  <si>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</si>
  <si>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</si>
  <si>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</si>
  <si>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</si>
  <si>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</si>
  <si>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</si>
  <si>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</si>
  <si>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</si>
  <si>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</si>
  <si>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</si>
  <si>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</si>
  <si>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</si>
  <si>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</si>
  <si>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</si>
  <si>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</si>
  <si>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</si>
  <si>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</si>
  <si>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</si>
  <si>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</si>
  <si>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</si>
  <si>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</si>
  <si>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</si>
  <si>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</si>
  <si>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</si>
  <si>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</si>
  <si>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</si>
  <si>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</si>
  <si>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</si>
  <si>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</si>
  <si>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</si>
  <si>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</si>
  <si>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</si>
  <si>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</si>
  <si>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</si>
  <si>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</si>
  <si>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</si>
  <si>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</si>
  <si>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</si>
  <si>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</si>
  <si>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</si>
  <si>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</si>
  <si>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</si>
  <si>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</si>
  <si>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</si>
  <si>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</si>
  <si>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</si>
  <si>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</si>
  <si>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</si>
  <si>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</si>
  <si>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</si>
  <si>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</si>
  <si>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</si>
  <si>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</si>
  <si>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</si>
  <si>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</si>
  <si>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</si>
  <si>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</si>
  <si>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</si>
  <si>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</si>
  <si>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</si>
  <si>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</si>
  <si>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</si>
  <si>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</si>
  <si>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</si>
  <si>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</si>
  <si>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</si>
  <si>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</si>
  <si>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</si>
  <si>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</si>
  <si>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</si>
  <si>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</si>
  <si>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</si>
  <si>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</si>
  <si>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</si>
  <si>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</si>
  <si>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</si>
  <si>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</si>
  <si>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</si>
  <si>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</si>
  <si>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</si>
  <si>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</si>
  <si>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</si>
  <si>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</si>
  <si>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</si>
  <si>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</si>
  <si>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</si>
  <si>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</si>
  <si>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</si>
  <si>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</si>
  <si>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</si>
  <si>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</si>
  <si>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</si>
  <si>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</si>
  <si>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</si>
  <si>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</si>
  <si>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</si>
  <si>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</si>
  <si>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</si>
  <si>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</si>
  <si>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</si>
  <si>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</si>
  <si>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</si>
  <si>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</si>
  <si>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</si>
  <si>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</si>
  <si>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</si>
  <si>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</si>
  <si>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</si>
  <si>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</si>
  <si>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</si>
  <si>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</si>
  <si>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</si>
  <si>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</si>
  <si>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</si>
  <si>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</si>
  <si>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</si>
  <si>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</si>
  <si>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</si>
  <si>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</si>
  <si>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</si>
  <si>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</si>
  <si>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</si>
  <si>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</si>
  <si>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</si>
  <si>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</si>
  <si>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</si>
  <si>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</si>
  <si>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</si>
  <si>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</si>
  <si>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</si>
  <si>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</si>
  <si>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</si>
  <si>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</si>
  <si>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</si>
  <si>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</si>
  <si>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</si>
  <si>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</si>
  <si>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</si>
  <si>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</si>
  <si>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</si>
  <si>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</si>
  <si>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</si>
  <si>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</si>
  <si>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</si>
  <si>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</si>
  <si>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</si>
  <si>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</si>
  <si>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</si>
  <si>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</si>
  <si>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</si>
  <si>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</si>
  <si>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</si>
  <si>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</si>
  <si>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</si>
  <si>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</si>
  <si>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</si>
  <si>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</si>
  <si>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</si>
  <si>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</si>
  <si>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</si>
  <si>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</si>
  <si>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</si>
  <si>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</si>
  <si>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</si>
  <si>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</si>
  <si>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</si>
  <si>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</si>
  <si>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</si>
  <si>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</si>
  <si>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</si>
  <si>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</si>
  <si>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</si>
  <si>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</si>
  <si>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</si>
  <si>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</si>
  <si>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</si>
  <si>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</si>
  <si>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</si>
  <si>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</si>
  <si>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</si>
  <si>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</si>
  <si>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</si>
  <si>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</si>
  <si>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</si>
  <si>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</si>
  <si>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</si>
  <si>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</si>
  <si>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</si>
  <si>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</si>
  <si>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</si>
  <si>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</si>
  <si>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</si>
  <si>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</si>
  <si>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</si>
  <si>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</si>
  <si>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</si>
  <si>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</si>
  <si>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</si>
  <si>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</si>
  <si>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</si>
  <si>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</si>
  <si>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</si>
  <si>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</si>
  <si>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</si>
  <si>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</si>
  <si>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</si>
  <si>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</si>
  <si>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</si>
  <si>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</si>
  <si>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</si>
  <si>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</si>
  <si>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</si>
  <si>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</si>
  <si>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</si>
  <si>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</si>
  <si>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</si>
  <si>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</si>
  <si>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</si>
  <si>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</si>
  <si>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</si>
  <si>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</si>
  <si>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</si>
  <si>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</si>
  <si>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</si>
  <si>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</si>
  <si>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</si>
  <si>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</si>
  <si>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</si>
  <si>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</si>
  <si>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</si>
  <si>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</si>
  <si>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</si>
  <si>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</si>
  <si>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</si>
  <si>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</si>
  <si>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</si>
  <si>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</si>
  <si>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</si>
  <si>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</si>
  <si>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</si>
  <si>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</si>
  <si>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</si>
  <si>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</si>
  <si>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</si>
  <si>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</si>
  <si>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</si>
  <si>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</si>
  <si>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</si>
  <si>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</si>
  <si>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</si>
  <si>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</si>
  <si>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</si>
  <si>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</si>
  <si>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</si>
  <si>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</si>
  <si>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</si>
  <si>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</si>
  <si>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</si>
  <si>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</si>
  <si>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</si>
  <si>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</si>
  <si>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</si>
  <si>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</si>
  <si>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</si>
  <si>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</si>
  <si>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</si>
  <si>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</si>
  <si>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</si>
  <si>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</si>
  <si>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</si>
  <si>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</si>
  <si>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</si>
  <si>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</si>
  <si>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</si>
  <si>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</si>
  <si>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</si>
  <si>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</si>
  <si>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</si>
  <si>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</si>
  <si>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</si>
  <si>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</si>
  <si>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</si>
  <si>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</si>
  <si>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</si>
  <si>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</si>
  <si>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</si>
  <si>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</si>
  <si>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</si>
  <si>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</si>
  <si>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</si>
  <si>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</si>
  <si>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</si>
  <si>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</si>
  <si>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</si>
  <si>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</si>
  <si>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</si>
  <si>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</si>
  <si>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</si>
  <si>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</si>
  <si>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</si>
  <si>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</si>
  <si>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</si>
  <si>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</si>
  <si>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</si>
  <si>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</si>
  <si>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</si>
  <si>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</si>
  <si>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</si>
  <si>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</si>
  <si>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</si>
  <si>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</si>
  <si>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</si>
  <si>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</si>
  <si>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</si>
  <si>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</si>
  <si>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</si>
  <si>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</si>
  <si>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</si>
  <si>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</si>
  <si>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</si>
  <si>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</si>
  <si>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</si>
  <si>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</si>
  <si>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</si>
  <si>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</si>
  <si>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</si>
  <si>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</si>
  <si>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</si>
  <si>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</si>
  <si>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</si>
  <si>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</si>
  <si>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</si>
  <si>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</si>
  <si>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</si>
  <si>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</si>
  <si>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</si>
  <si>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</si>
  <si>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</si>
  <si>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</si>
  <si>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</si>
  <si>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</si>
  <si>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</si>
  <si>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</si>
  <si>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</si>
  <si>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</si>
  <si>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</si>
  <si>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</si>
  <si>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</si>
  <si>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</si>
  <si>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</si>
  <si>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</si>
  <si>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</si>
  <si>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</si>
  <si>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</si>
  <si>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</si>
  <si>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</si>
  <si>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</si>
  <si>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</si>
  <si>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</si>
  <si>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</si>
  <si>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</si>
  <si>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</si>
  <si>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</si>
  <si>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</si>
  <si>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</si>
  <si>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</si>
  <si>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</si>
  <si>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</si>
  <si>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</si>
  <si>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</si>
  <si>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</si>
  <si>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</si>
  <si>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</si>
  <si>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</si>
  <si>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</si>
  <si>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</si>
  <si>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</si>
  <si>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</si>
  <si>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</si>
  <si>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</si>
  <si>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</si>
  <si>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</si>
  <si>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</si>
  <si>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</si>
  <si>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</si>
  <si>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</si>
  <si>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</si>
  <si>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</si>
  <si>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</si>
  <si>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</si>
  <si>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</si>
  <si>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</si>
  <si>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</si>
  <si>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</si>
  <si>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</si>
  <si>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</si>
  <si>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</si>
  <si>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</si>
  <si>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</si>
  <si>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</si>
  <si>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</si>
  <si>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</si>
  <si>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</si>
  <si>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</si>
  <si>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</si>
  <si>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</si>
  <si>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</si>
  <si>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</si>
  <si>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</si>
  <si>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</si>
  <si>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</si>
  <si>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</si>
  <si>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</si>
  <si>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</si>
  <si>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</si>
  <si>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</si>
  <si>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</si>
  <si>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</si>
  <si>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</si>
  <si>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</si>
  <si>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</si>
  <si>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</si>
  <si>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</si>
  <si>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</si>
  <si>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</si>
  <si>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</si>
  <si>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</si>
  <si>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</si>
  <si>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</si>
  <si>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</si>
  <si>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</si>
  <si>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</si>
  <si>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</si>
  <si>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</si>
  <si>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</si>
  <si>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</si>
  <si>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</si>
  <si>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</si>
  <si>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</si>
  <si>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</si>
  <si>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</si>
  <si>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</si>
  <si>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</si>
  <si>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</si>
  <si>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</si>
  <si>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</si>
  <si>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</si>
  <si>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</si>
  <si>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</si>
  <si>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</si>
  <si>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</si>
  <si>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</si>
  <si>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</si>
  <si>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</si>
  <si>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</si>
  <si>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</si>
  <si>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</si>
  <si>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</si>
  <si>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</si>
  <si>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</si>
  <si>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</si>
  <si>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</si>
  <si>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</si>
  <si>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</si>
  <si>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</si>
  <si>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</si>
  <si>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</si>
  <si>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</si>
  <si>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</si>
  <si>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</si>
  <si>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</si>
  <si>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</si>
  <si>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</si>
  <si>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</si>
  <si>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</si>
  <si>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</si>
  <si>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</si>
  <si>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</si>
  <si>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</si>
  <si>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</si>
  <si>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</si>
  <si>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</si>
  <si>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</si>
  <si>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</si>
  <si>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</si>
  <si>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</si>
  <si>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</si>
  <si>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</si>
  <si>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</si>
  <si>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</si>
  <si>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</si>
  <si>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</si>
  <si>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</si>
  <si>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</si>
  <si>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</si>
  <si>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</si>
  <si>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</si>
  <si>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</si>
  <si>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</si>
  <si>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</si>
  <si>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</si>
  <si>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</si>
  <si>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</si>
  <si>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</si>
  <si>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</si>
  <si>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</si>
  <si>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</si>
  <si>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</si>
  <si>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</si>
  <si>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</si>
  <si>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</si>
  <si>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</si>
  <si>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</si>
  <si>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</si>
  <si>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</si>
  <si>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</si>
  <si>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</si>
  <si>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</si>
  <si>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</si>
  <si>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</si>
  <si>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</si>
  <si>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</si>
  <si>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</si>
  <si>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</si>
  <si>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</si>
  <si>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</si>
  <si>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</si>
  <si>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</si>
  <si>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</si>
  <si>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</si>
  <si>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</si>
  <si>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</si>
  <si>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</si>
  <si>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</si>
  <si>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</si>
  <si>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</si>
  <si>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</si>
  <si>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</si>
  <si>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</si>
  <si>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</si>
  <si>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</si>
  <si>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</si>
  <si>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</si>
  <si>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</si>
  <si>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</si>
  <si>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</si>
  <si>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</si>
  <si>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</si>
  <si>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</si>
  <si>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</si>
  <si>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</si>
  <si>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</si>
  <si>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</si>
  <si>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</si>
  <si>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</si>
  <si>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</si>
  <si>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</si>
  <si>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</si>
  <si>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</si>
  <si>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</si>
  <si>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</si>
  <si>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</si>
  <si>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</si>
  <si>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</si>
  <si>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</si>
  <si>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</si>
  <si>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</si>
  <si>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</si>
  <si>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</si>
  <si>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</si>
  <si>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</si>
  <si>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</si>
  <si>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</si>
  <si>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</si>
  <si>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</si>
  <si>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</si>
  <si>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</si>
  <si>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</si>
  <si>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</si>
  <si>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</si>
  <si>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</si>
  <si>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</si>
  <si>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</si>
  <si>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</si>
  <si>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</si>
  <si>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</si>
  <si>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</si>
  <si>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</si>
  <si>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</si>
  <si>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</si>
  <si>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</si>
  <si>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</si>
  <si>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</si>
  <si>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</si>
  <si>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</si>
  <si>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</si>
  <si>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</si>
  <si>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</si>
  <si>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</si>
  <si>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</si>
  <si>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</si>
  <si>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</si>
  <si>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</si>
  <si>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</si>
  <si>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</si>
  <si>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</si>
  <si>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</si>
  <si>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</si>
  <si>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</si>
  <si>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</si>
  <si>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</si>
  <si>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</si>
  <si>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</si>
  <si>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</si>
  <si>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</si>
  <si>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</si>
  <si>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</si>
  <si>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</si>
  <si>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</si>
  <si>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</si>
  <si>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</si>
  <si>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</si>
  <si>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</si>
  <si>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</si>
  <si>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</si>
  <si>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</si>
  <si>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</si>
  <si>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</si>
  <si>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</si>
  <si>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</si>
  <si>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</si>
  <si>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</si>
  <si>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</si>
  <si>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</si>
  <si>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</si>
  <si>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</si>
  <si>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</si>
  <si>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</si>
  <si>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</si>
  <si>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</si>
  <si>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</si>
  <si>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</si>
  <si>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</si>
  <si>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</si>
  <si>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</si>
  <si>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</si>
  <si>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</si>
  <si>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</si>
  <si>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</si>
  <si>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</si>
  <si>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</si>
  <si>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</si>
  <si>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</si>
  <si>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</si>
  <si>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</si>
  <si>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</si>
  <si>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</si>
  <si>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</si>
  <si>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</si>
  <si>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</si>
  <si>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</si>
  <si>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</si>
  <si>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</si>
  <si>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</si>
  <si>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</si>
  <si>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</si>
  <si>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</si>
  <si>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</si>
  <si>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</si>
  <si>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</si>
  <si>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</si>
  <si>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</si>
  <si>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</si>
  <si>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</si>
  <si>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</si>
  <si>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</si>
  <si>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</si>
  <si>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</si>
  <si>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</si>
  <si>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</si>
  <si>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</si>
  <si>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</si>
  <si>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</si>
  <si>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</si>
  <si>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</si>
  <si>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</si>
  <si>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</si>
  <si>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</si>
  <si>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</si>
  <si>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</si>
  <si>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</si>
  <si>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</si>
  <si>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</si>
  <si>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</si>
  <si>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</si>
  <si>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</si>
  <si>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</si>
  <si>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</si>
  <si>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</si>
  <si>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</si>
  <si>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</si>
  <si>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</si>
  <si>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</si>
  <si>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</si>
  <si>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</si>
  <si>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</si>
  <si>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</si>
  <si>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</si>
  <si>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</si>
  <si>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</si>
  <si>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</si>
  <si>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</si>
  <si>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</si>
  <si>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</si>
  <si>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</si>
  <si>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</si>
  <si>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</si>
  <si>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</si>
  <si>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</si>
  <si>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</si>
  <si>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</si>
  <si>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</si>
  <si>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</si>
  <si>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</si>
  <si>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</si>
  <si>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</si>
  <si>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</si>
  <si>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</si>
  <si>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</si>
  <si>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</si>
  <si>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</si>
  <si>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</si>
  <si>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</si>
  <si>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</si>
  <si>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</si>
  <si>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</si>
  <si>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</si>
  <si>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</si>
  <si>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</si>
  <si>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</si>
  <si>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</si>
  <si>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</si>
  <si>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</si>
  <si>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</si>
  <si>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</si>
  <si>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</si>
  <si>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</si>
  <si>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</si>
  <si>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</si>
  <si>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</si>
  <si>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</si>
  <si>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</si>
  <si>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</si>
  <si>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</si>
  <si>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</si>
  <si>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</si>
  <si>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</si>
  <si>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</si>
  <si>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</si>
  <si>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</si>
  <si>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</si>
  <si>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</si>
  <si>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</si>
  <si>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</si>
  <si>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</si>
  <si>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</si>
  <si>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</si>
  <si>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</si>
  <si>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</si>
  <si>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</si>
  <si>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</si>
  <si>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</si>
  <si>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</si>
  <si>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</si>
  <si>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</si>
  <si>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</si>
  <si>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</si>
  <si>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</si>
  <si>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</si>
  <si>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</si>
  <si>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</si>
  <si>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</si>
  <si>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</si>
  <si>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</si>
  <si>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</si>
  <si>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</si>
  <si>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</si>
  <si>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</si>
  <si>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</si>
  <si>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</si>
  <si>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</si>
  <si>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</si>
  <si>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</si>
  <si>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</si>
  <si>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</si>
  <si>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</si>
  <si>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</si>
  <si>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</si>
  <si>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</si>
  <si>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</si>
  <si>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</si>
  <si>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</si>
  <si>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</si>
  <si>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</si>
  <si>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</si>
  <si>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</si>
  <si>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</si>
  <si>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</si>
  <si>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</si>
  <si>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</si>
  <si>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</si>
  <si>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</si>
  <si>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</si>
  <si>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</si>
  <si>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</si>
  <si>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</si>
  <si>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</si>
  <si>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</si>
  <si>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</si>
  <si>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</si>
  <si>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</si>
  <si>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</si>
  <si>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</si>
  <si>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</si>
  <si>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</si>
  <si>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</si>
  <si>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</si>
  <si>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</si>
  <si>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</si>
  <si>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</si>
  <si>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</si>
  <si>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</si>
  <si>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</si>
  <si>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</si>
  <si>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</si>
  <si>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</si>
  <si>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</si>
  <si>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</si>
  <si>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</si>
  <si>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</si>
  <si>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</si>
  <si>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</si>
  <si>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</si>
  <si>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</si>
  <si>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</si>
  <si>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</si>
  <si>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</si>
  <si>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</si>
  <si>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</si>
  <si>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</si>
  <si>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</si>
  <si>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</si>
  <si>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</si>
  <si>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</si>
  <si>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</si>
  <si>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</si>
  <si>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</si>
  <si>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</si>
  <si>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</si>
  <si>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</si>
  <si>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</si>
  <si>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</si>
  <si>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</si>
  <si>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</si>
  <si>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</si>
  <si>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</si>
  <si>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</si>
  <si>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</si>
  <si>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</si>
  <si>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</si>
  <si>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</si>
  <si>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</si>
  <si>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</si>
  <si>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</si>
  <si>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</si>
  <si>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</si>
  <si>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</si>
  <si>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</si>
  <si>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</si>
  <si>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</si>
  <si>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</si>
  <si>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</si>
  <si>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</si>
  <si>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</si>
  <si>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</si>
  <si>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</si>
  <si>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</si>
  <si>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</si>
  <si>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</si>
  <si>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</si>
  <si>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</si>
  <si>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</si>
  <si>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</si>
  <si>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</si>
  <si>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</si>
  <si>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</si>
  <si>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</si>
  <si>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</si>
  <si>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</si>
  <si>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</si>
  <si>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</si>
  <si>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</si>
  <si>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</si>
  <si>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</si>
  <si>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</si>
  <si>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</si>
  <si>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</si>
  <si>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</si>
  <si>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</si>
  <si>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</si>
  <si>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</si>
  <si>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</si>
  <si>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</si>
  <si>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</si>
  <si>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</si>
  <si>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</si>
  <si>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</si>
  <si>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</si>
  <si>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</si>
  <si>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</si>
  <si>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</si>
  <si>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</si>
  <si>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</si>
  <si>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</si>
  <si>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</si>
  <si>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</si>
  <si>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</si>
  <si>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</si>
  <si>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</si>
  <si>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</si>
  <si>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</si>
  <si>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</si>
  <si>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</si>
  <si>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</si>
  <si>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</si>
  <si>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</si>
  <si>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</si>
  <si>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</si>
  <si>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</si>
  <si>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</si>
  <si>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</si>
  <si>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</si>
  <si>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</si>
  <si>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</si>
  <si>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</si>
  <si>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</si>
  <si>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</si>
  <si>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</si>
  <si>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</si>
  <si>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</si>
  <si>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</si>
  <si>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</si>
  <si>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</si>
  <si>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</si>
  <si>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</si>
  <si>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</si>
  <si>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</si>
  <si>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</si>
  <si>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</si>
  <si>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</si>
  <si>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</si>
  <si>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</si>
  <si>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</si>
  <si>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</si>
  <si>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</si>
  <si>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</si>
  <si>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</si>
  <si>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</si>
  <si>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</si>
  <si>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</si>
  <si>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</si>
  <si>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</si>
  <si>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</si>
  <si>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</si>
  <si>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</si>
  <si>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</si>
  <si>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</si>
  <si>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</si>
  <si>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</si>
  <si>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</si>
  <si>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</si>
  <si>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</si>
  <si>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</si>
  <si>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</si>
  <si>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</si>
  <si>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</si>
  <si>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</si>
  <si>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</si>
  <si>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</si>
  <si>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</si>
  <si>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</si>
  <si>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</si>
  <si>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</si>
  <si>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</si>
  <si>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</si>
  <si>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</si>
  <si>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</si>
  <si>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</si>
  <si>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</si>
  <si>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</si>
  <si>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</si>
  <si>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</si>
  <si>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</si>
  <si>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</si>
  <si>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</si>
  <si>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</si>
  <si>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</si>
  <si>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</si>
  <si>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</si>
  <si>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</si>
  <si>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</si>
  <si>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</si>
  <si>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</si>
  <si>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</si>
  <si>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</si>
  <si>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</si>
  <si>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</si>
  <si>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</si>
  <si>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</si>
  <si>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</si>
  <si>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</si>
  <si>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</si>
  <si>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</si>
  <si>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</si>
  <si>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</si>
  <si>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</si>
  <si>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</si>
  <si>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</si>
  <si>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</si>
  <si>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</si>
  <si>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</si>
  <si>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</si>
  <si>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</si>
  <si>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</si>
  <si>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</si>
  <si>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</si>
  <si>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</si>
  <si>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</si>
  <si>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</si>
  <si>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</si>
  <si>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</si>
  <si>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</si>
  <si>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</si>
  <si>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</si>
  <si>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</si>
  <si>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</si>
  <si>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</si>
  <si>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</si>
  <si>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</si>
  <si>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</si>
  <si>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</si>
  <si>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</si>
  <si>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</si>
  <si>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</si>
  <si>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</si>
  <si>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</si>
  <si>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</si>
  <si>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</si>
  <si>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</si>
  <si>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</si>
  <si>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</si>
  <si>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</si>
  <si>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</si>
  <si>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</si>
  <si>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</si>
  <si>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</si>
  <si>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</si>
  <si>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</si>
  <si>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</si>
  <si>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</si>
  <si>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</si>
  <si>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</si>
  <si>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</si>
  <si>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</si>
  <si>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</si>
  <si>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</si>
  <si>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</si>
  <si>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</si>
  <si>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</si>
  <si>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</si>
  <si>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</si>
  <si>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</si>
  <si>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</si>
  <si>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</si>
  <si>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</si>
  <si>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</si>
  <si>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</si>
  <si>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</si>
  <si>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</si>
  <si>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</si>
  <si>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</si>
  <si>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</si>
  <si>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</si>
  <si>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</si>
  <si>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</si>
  <si>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</si>
  <si>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</si>
  <si>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</si>
  <si>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</si>
  <si>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</si>
  <si>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</si>
  <si>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</si>
  <si>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</si>
  <si>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</si>
  <si>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</si>
  <si>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</si>
  <si>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</si>
  <si>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</si>
  <si>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</si>
  <si>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</si>
  <si>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</si>
  <si>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</si>
  <si>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</si>
  <si>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</si>
  <si>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</si>
  <si>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</si>
  <si>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</si>
  <si>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</si>
  <si>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</si>
  <si>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</si>
  <si>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</si>
  <si>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</si>
  <si>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</si>
  <si>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</si>
  <si>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</si>
  <si>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</si>
  <si>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</si>
  <si>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</si>
  <si>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</si>
  <si>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</si>
  <si>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</si>
  <si>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</si>
  <si>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</si>
  <si>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</si>
  <si>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</si>
  <si>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</si>
  <si>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</si>
  <si>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</si>
  <si>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</si>
  <si>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</si>
  <si>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</si>
  <si>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</si>
  <si>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</si>
  <si>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</si>
  <si>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</si>
  <si>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</si>
  <si>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</si>
  <si>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</si>
  <si>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</si>
  <si>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</si>
  <si>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</si>
  <si>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</si>
  <si>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</si>
  <si>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</si>
  <si>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</si>
  <si>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</si>
  <si>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</si>
  <si>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</si>
  <si>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</si>
  <si>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</si>
  <si>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</si>
  <si>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</si>
  <si>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</si>
  <si>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</si>
  <si>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</si>
  <si>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</si>
  <si>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</si>
  <si>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</si>
  <si>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</si>
  <si>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</si>
  <si>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</si>
  <si>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</si>
  <si>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</si>
  <si>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</si>
  <si>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</si>
  <si>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</si>
  <si>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</si>
  <si>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</si>
  <si>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</si>
  <si>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</si>
  <si>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</si>
  <si>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</si>
  <si>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</si>
  <si>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</si>
  <si>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</si>
  <si>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</si>
  <si>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</si>
  <si>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</si>
  <si>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</si>
  <si>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</si>
  <si>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</si>
  <si>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</si>
  <si>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</si>
  <si>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</si>
  <si>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</si>
  <si>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</si>
  <si>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</si>
  <si>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</si>
  <si>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</si>
  <si>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</si>
  <si>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</si>
  <si>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</si>
  <si>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</si>
  <si>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</si>
  <si>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</si>
  <si>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</si>
  <si>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</si>
  <si>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</si>
  <si>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</si>
  <si>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</si>
  <si>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</si>
  <si>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</si>
  <si>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</si>
  <si>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</si>
  <si>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</si>
  <si>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</si>
  <si>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</si>
  <si>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</si>
  <si>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</si>
  <si>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</si>
  <si>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</si>
  <si>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</si>
  <si>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</si>
  <si>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</si>
  <si>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</si>
  <si>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</si>
  <si>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</si>
  <si>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</si>
  <si>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</si>
  <si>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</si>
  <si>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</si>
  <si>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</si>
  <si>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</si>
  <si>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</si>
  <si>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</si>
  <si>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</si>
  <si>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</si>
  <si>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</si>
  <si>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</si>
  <si>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</si>
  <si>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</si>
  <si>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</si>
  <si>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</si>
  <si>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</si>
  <si>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</si>
  <si>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</si>
  <si>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</si>
  <si>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</si>
  <si>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</si>
  <si>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</si>
  <si>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</si>
  <si>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</si>
  <si>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</si>
  <si>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</si>
  <si>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</si>
  <si>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</si>
  <si>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</si>
  <si>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</si>
  <si>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</si>
  <si>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</si>
  <si>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</si>
  <si>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</si>
  <si>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</si>
  <si>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</si>
  <si>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</si>
  <si>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</si>
  <si>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</si>
  <si>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</si>
  <si>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</si>
  <si>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</si>
  <si>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</si>
  <si>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</si>
  <si>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</si>
  <si>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</si>
  <si>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</si>
  <si>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</si>
  <si>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</si>
  <si>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</si>
  <si>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</si>
  <si>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</si>
  <si>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</si>
  <si>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</si>
  <si>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</si>
  <si>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</si>
  <si>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</si>
  <si>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</si>
  <si>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</si>
  <si>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</si>
  <si>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</si>
  <si>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</si>
  <si>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</si>
  <si>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</si>
  <si>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</si>
  <si>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</si>
  <si>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</si>
  <si>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</si>
  <si>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</si>
  <si>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</si>
  <si>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</si>
  <si>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</si>
  <si>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</si>
  <si>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</si>
  <si>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</si>
  <si>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</si>
  <si>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</si>
  <si>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</si>
  <si>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</si>
  <si>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</si>
  <si>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</si>
  <si>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</si>
  <si>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</si>
  <si>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</si>
  <si>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</si>
  <si>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</si>
  <si>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</si>
  <si>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</si>
  <si>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</si>
  <si>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</si>
  <si>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</si>
  <si>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</si>
  <si>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</si>
  <si>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</si>
  <si>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</si>
  <si>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</si>
  <si>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</si>
  <si>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</si>
  <si>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</si>
  <si>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</si>
  <si>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</si>
  <si>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</si>
  <si>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</si>
  <si>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</si>
  <si>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</si>
  <si>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</si>
  <si>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</si>
  <si>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</si>
  <si>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</si>
  <si>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</si>
  <si>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</si>
  <si>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</si>
  <si>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</si>
  <si>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</si>
  <si>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</si>
  <si>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</si>
  <si>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</si>
  <si>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</si>
  <si>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</si>
  <si>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</si>
  <si>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</si>
  <si>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</si>
  <si>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</si>
  <si>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</si>
  <si>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</si>
  <si>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</si>
  <si>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</si>
  <si>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</si>
  <si>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</si>
  <si>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</si>
  <si>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</si>
  <si>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</si>
  <si>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</si>
  <si>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</si>
  <si>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</si>
  <si>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</si>
  <si>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</si>
  <si>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</si>
  <si>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</si>
  <si>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</si>
  <si>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</si>
  <si>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</si>
  <si>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</si>
  <si>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</si>
  <si>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</si>
  <si>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</si>
  <si>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</si>
  <si>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</si>
  <si>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</si>
  <si>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</si>
  <si>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</si>
  <si>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</si>
  <si>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</si>
  <si>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</si>
  <si>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</si>
  <si>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</si>
  <si>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</si>
  <si>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</si>
  <si>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</si>
  <si>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</si>
  <si>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</si>
  <si>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</si>
  <si>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</si>
  <si>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</si>
  <si>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</si>
  <si>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</si>
  <si>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</si>
  <si>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</si>
  <si>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</si>
  <si>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</si>
  <si>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</si>
  <si>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</si>
  <si>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</si>
  <si>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</si>
  <si>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</si>
  <si>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</si>
  <si>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</si>
  <si>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</si>
  <si>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</si>
  <si>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</si>
  <si>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</si>
  <si>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</si>
  <si>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</si>
  <si>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</si>
  <si>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</si>
  <si>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</si>
  <si>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</si>
  <si>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</si>
  <si>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</si>
  <si>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</si>
  <si>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</si>
  <si>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</si>
  <si>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</si>
  <si>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</si>
  <si>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</si>
  <si>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</si>
  <si>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</si>
  <si>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</si>
  <si>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</si>
  <si>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</si>
  <si>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</si>
  <si>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</si>
  <si>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</si>
  <si>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</si>
  <si>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</si>
  <si>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</si>
  <si>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</si>
  <si>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</si>
  <si>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</si>
  <si>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</si>
  <si>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</si>
  <si>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</si>
  <si>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</si>
  <si>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</si>
  <si>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</si>
  <si>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</si>
  <si>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</si>
  <si>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</si>
  <si>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</si>
  <si>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</si>
  <si>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</si>
  <si>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</si>
  <si>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</si>
  <si>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</si>
  <si>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</si>
  <si>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</si>
  <si>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</si>
  <si>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</si>
  <si>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</si>
  <si>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</si>
  <si>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</si>
  <si>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</si>
  <si>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</si>
  <si>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</si>
  <si>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</si>
  <si>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</si>
  <si>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</si>
  <si>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</si>
  <si>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</si>
  <si>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</si>
  <si>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</si>
  <si>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</si>
  <si>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</si>
  <si>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</si>
  <si>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</si>
  <si>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</si>
  <si>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</si>
  <si>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</si>
  <si>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</si>
  <si>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</si>
  <si>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</si>
  <si>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</si>
  <si>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</si>
  <si>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</si>
  <si>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</si>
  <si>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</si>
  <si>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</si>
  <si>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</si>
  <si>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</si>
  <si>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</si>
  <si>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</si>
  <si>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</si>
  <si>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</si>
  <si>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</si>
  <si>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</si>
  <si>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</si>
  <si>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</si>
  <si>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</si>
  <si>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</si>
  <si>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</si>
  <si>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</si>
  <si>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</si>
  <si>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</si>
  <si>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</si>
  <si>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</si>
  <si>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</si>
  <si>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</si>
  <si>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</si>
  <si>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</si>
  <si>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</si>
  <si>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</si>
  <si>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</si>
  <si>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</si>
  <si>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</si>
  <si>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</si>
  <si>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</si>
  <si>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</si>
  <si>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</si>
  <si>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</si>
  <si>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</si>
  <si>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</si>
  <si>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</si>
  <si>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</si>
  <si>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</si>
  <si>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</si>
  <si>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</si>
  <si>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</si>
  <si>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</si>
  <si>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</si>
  <si>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</si>
  <si>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</si>
  <si>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</si>
  <si>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</si>
  <si>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</si>
  <si>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</si>
  <si>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</si>
  <si>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</si>
  <si>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</si>
  <si>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</si>
  <si>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</si>
  <si>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</si>
  <si>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</si>
  <si>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</si>
  <si>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</si>
  <si>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</si>
  <si>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</si>
  <si>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</si>
  <si>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</si>
  <si>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</si>
  <si>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</si>
  <si>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</si>
  <si>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</si>
  <si>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</si>
  <si>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</si>
  <si>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</si>
  <si>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</si>
  <si>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</si>
  <si>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</si>
  <si>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</si>
  <si>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</si>
  <si>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</si>
  <si>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</si>
  <si>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</si>
  <si>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</si>
  <si>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</si>
  <si>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</si>
  <si>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</si>
  <si>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</si>
  <si>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</si>
  <si>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</si>
  <si>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</si>
  <si>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</si>
  <si>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</si>
  <si>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</si>
  <si>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</si>
  <si>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</si>
  <si>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</si>
  <si>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</si>
  <si>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</si>
  <si>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</si>
  <si>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</si>
  <si>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</si>
  <si>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</si>
  <si>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</si>
  <si>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</si>
  <si>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</si>
  <si>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</si>
  <si>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</si>
  <si>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</si>
  <si>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</si>
  <si>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</si>
  <si>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</si>
  <si>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</si>
  <si>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</si>
  <si>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</si>
  <si>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</si>
  <si>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</si>
  <si>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</si>
  <si>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</si>
  <si>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</si>
  <si>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</si>
  <si>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</si>
  <si>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</si>
  <si>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</si>
  <si>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</si>
  <si>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</si>
  <si>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</si>
  <si>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</si>
  <si>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</si>
  <si>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</si>
  <si>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</si>
  <si>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</si>
  <si>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</si>
  <si>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</si>
  <si>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</si>
  <si>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</si>
  <si>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</si>
  <si>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</si>
  <si>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</si>
  <si>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</si>
  <si>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</si>
  <si>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</si>
  <si>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</si>
  <si>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</si>
  <si>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</si>
  <si>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</si>
  <si>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</si>
  <si>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</si>
  <si>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</si>
  <si>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</si>
  <si>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</si>
  <si>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</si>
  <si>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</si>
  <si>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</si>
  <si>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</si>
  <si>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</si>
  <si>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</si>
  <si>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</si>
  <si>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</si>
  <si>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</si>
  <si>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</si>
  <si>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</si>
  <si>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</si>
  <si>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</si>
  <si>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</si>
  <si>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</si>
  <si>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</si>
  <si>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</si>
  <si>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</si>
  <si>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</si>
  <si>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</si>
  <si>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</si>
  <si>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</si>
  <si>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</si>
  <si>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</si>
  <si>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</si>
  <si>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</si>
  <si>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</si>
  <si>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</si>
  <si>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</si>
  <si>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</si>
  <si>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</si>
  <si>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</si>
  <si>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</si>
  <si>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</si>
  <si>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</si>
  <si>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</si>
  <si>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</si>
  <si>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</si>
  <si>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</si>
  <si>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</si>
  <si>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</si>
  <si>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</si>
  <si>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</si>
  <si>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</si>
  <si>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</si>
  <si>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</si>
  <si>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</si>
  <si>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</si>
  <si>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</si>
  <si>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</si>
  <si>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</si>
  <si>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</si>
  <si>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</si>
  <si>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</si>
  <si>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</si>
  <si>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</si>
  <si>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</si>
  <si>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</si>
  <si>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</si>
  <si>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</si>
  <si>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</si>
  <si>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</si>
  <si>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</si>
  <si>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</si>
  <si>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</si>
  <si>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</si>
  <si>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</si>
  <si>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</si>
  <si>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</si>
  <si>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</si>
  <si>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</si>
  <si>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</si>
  <si>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</si>
  <si>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</si>
  <si>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</si>
  <si>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</si>
  <si>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</si>
  <si>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</si>
  <si>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</si>
  <si>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</si>
  <si>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</si>
  <si>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</si>
  <si>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</si>
  <si>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</si>
  <si>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</si>
  <si>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</si>
  <si>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</si>
  <si>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</si>
  <si>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</si>
  <si>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</si>
  <si>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</si>
  <si>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</si>
  <si>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</si>
  <si>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</si>
  <si>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</si>
  <si>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</si>
  <si>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</si>
  <si>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</si>
  <si>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</si>
  <si>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</si>
  <si>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</si>
  <si>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</si>
  <si>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</si>
  <si>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</si>
  <si>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</si>
  <si>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</si>
  <si>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</si>
  <si>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</si>
  <si>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</si>
  <si>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</si>
  <si>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</si>
  <si>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</si>
  <si>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</si>
  <si>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</si>
  <si>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</si>
  <si>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</si>
  <si>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</si>
  <si>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</si>
  <si>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</si>
  <si>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</si>
  <si>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</si>
  <si>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</si>
  <si>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</si>
  <si>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</si>
  <si>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</si>
  <si>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</si>
  <si>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</si>
  <si>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</si>
  <si>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</si>
  <si>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</si>
  <si>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</si>
  <si>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</si>
  <si>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</si>
  <si>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</si>
  <si>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</si>
  <si>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</si>
  <si>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</si>
  <si>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</si>
  <si>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</si>
  <si>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</si>
  <si>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</si>
  <si>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</si>
  <si>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</si>
  <si>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</si>
  <si>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</si>
  <si>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</si>
  <si>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</si>
  <si>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</si>
  <si>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</si>
  <si>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</si>
  <si>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</si>
  <si>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</si>
  <si>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</si>
  <si>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</si>
  <si>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</si>
  <si>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</si>
  <si>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</si>
  <si>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</si>
  <si>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</si>
  <si>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</si>
  <si>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</si>
  <si>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</si>
  <si>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</si>
  <si>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</si>
  <si>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</si>
  <si>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</si>
  <si>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</si>
  <si>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</si>
  <si>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</si>
  <si>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</si>
  <si>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</si>
  <si>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</si>
  <si>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</si>
  <si>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</si>
  <si>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</si>
  <si>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</si>
  <si>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</si>
  <si>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</si>
  <si>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</si>
  <si>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</si>
  <si>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</si>
  <si>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</si>
  <si>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</si>
  <si>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</si>
  <si>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</si>
  <si>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</si>
  <si>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</si>
  <si>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</si>
  <si>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</si>
  <si>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</si>
  <si>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</si>
  <si>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</si>
  <si>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</si>
  <si>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</si>
  <si>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</si>
  <si>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</si>
  <si>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</si>
  <si>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</si>
  <si>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</si>
  <si>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</si>
  <si>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</si>
  <si>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</si>
  <si>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</si>
  <si>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</si>
  <si>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</si>
  <si>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</si>
  <si>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</si>
  <si>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</si>
  <si>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</si>
  <si>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</si>
  <si>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</si>
  <si>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</si>
  <si>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</si>
  <si>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</si>
  <si>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</si>
  <si>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</si>
  <si>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</si>
  <si>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</si>
  <si>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</si>
  <si>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</si>
  <si>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</si>
  <si>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</si>
  <si>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</si>
  <si>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</si>
  <si>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</si>
  <si>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</si>
  <si>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</si>
  <si>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</si>
  <si>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</si>
  <si>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</si>
  <si>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</si>
  <si>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</si>
  <si>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</si>
  <si>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</si>
  <si>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</si>
  <si>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</si>
  <si>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</si>
  <si>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</si>
  <si>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</si>
  <si>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</si>
  <si>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</si>
  <si>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</si>
  <si>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</si>
  <si>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</si>
  <si>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</si>
  <si>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</si>
  <si>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</si>
  <si>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</si>
  <si>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</si>
  <si>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</si>
  <si>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</si>
  <si>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</si>
  <si>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</si>
  <si>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</si>
  <si>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</si>
  <si>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</si>
  <si>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</si>
  <si>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</si>
  <si>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</si>
  <si>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</si>
  <si>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</si>
  <si>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</si>
  <si>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</si>
  <si>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</si>
  <si>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</si>
  <si>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</si>
  <si>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</si>
  <si>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</si>
  <si>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</si>
  <si>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</si>
  <si>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</si>
  <si>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</si>
  <si>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</si>
  <si>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</si>
  <si>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</si>
  <si>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</si>
  <si>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</si>
  <si>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</si>
  <si>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</si>
  <si>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</si>
  <si>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</si>
  <si>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</si>
  <si>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</si>
  <si>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</si>
  <si>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</si>
  <si>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</si>
  <si>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</si>
  <si>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</si>
  <si>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</si>
  <si>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</si>
  <si>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</si>
  <si>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</si>
  <si>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</si>
  <si>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</si>
  <si>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</si>
  <si>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</si>
  <si>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</si>
  <si>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</si>
  <si>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</si>
  <si>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</si>
  <si>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</si>
  <si>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</si>
  <si>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</si>
  <si>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</si>
  <si>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</si>
  <si>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</si>
  <si>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</si>
  <si>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</si>
  <si>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</si>
  <si>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</si>
  <si>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</si>
  <si>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</si>
  <si>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</si>
  <si>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</si>
  <si>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</si>
  <si>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</si>
  <si>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</si>
  <si>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</si>
  <si>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</si>
  <si>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</si>
  <si>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</si>
  <si>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</si>
  <si>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</si>
  <si>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</si>
  <si>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</si>
  <si>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</si>
  <si>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</si>
  <si>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</si>
  <si>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</si>
  <si>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</si>
  <si>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</si>
  <si>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</si>
  <si>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</si>
  <si>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</si>
  <si>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</si>
  <si>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</si>
  <si>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</si>
  <si>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</si>
  <si>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</si>
  <si>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</si>
  <si>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</si>
  <si>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</si>
  <si>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</si>
  <si>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</si>
  <si>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</si>
  <si>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</si>
  <si>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</si>
  <si>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</si>
  <si>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</si>
  <si>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</si>
  <si>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</si>
  <si>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</si>
  <si>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</si>
  <si>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</si>
  <si>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</si>
  <si>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</si>
  <si>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</si>
  <si>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</si>
  <si>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</si>
  <si>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</si>
  <si>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</si>
  <si>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</si>
  <si>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</si>
  <si>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</si>
  <si>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</si>
  <si>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</si>
  <si>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</si>
  <si>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</si>
  <si>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</si>
  <si>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</si>
  <si>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</si>
  <si>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</si>
  <si>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</si>
  <si>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</si>
  <si>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</si>
  <si>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</si>
  <si>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</si>
  <si>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</si>
  <si>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</si>
  <si>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</si>
  <si>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</si>
  <si>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</si>
  <si>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</si>
  <si>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</si>
  <si>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</si>
  <si>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</si>
  <si>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</si>
  <si>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</si>
  <si>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</si>
  <si>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</si>
  <si>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</si>
  <si>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</si>
  <si>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</si>
  <si>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</si>
  <si>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</si>
  <si>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</si>
  <si>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</si>
  <si>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</si>
  <si>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</si>
  <si>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</si>
  <si>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</si>
  <si>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</si>
  <si>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</si>
  <si>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</si>
  <si>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</si>
  <si>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</si>
  <si>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</si>
  <si>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</si>
  <si>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</si>
  <si>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</si>
  <si>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</si>
  <si>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</si>
  <si>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</si>
  <si>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</si>
  <si>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</si>
  <si>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</si>
  <si>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</si>
  <si>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</si>
  <si>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</si>
  <si>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</si>
  <si>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</si>
  <si>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</si>
  <si>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</si>
  <si>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</si>
  <si>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</si>
  <si>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</si>
  <si>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</si>
  <si>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</si>
  <si>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</si>
  <si>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</si>
  <si>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</si>
  <si>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</si>
  <si>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</si>
  <si>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</si>
  <si>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</si>
  <si>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</si>
  <si>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</si>
  <si>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</si>
  <si>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</si>
  <si>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</si>
  <si>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</si>
  <si>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</si>
  <si>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</si>
  <si>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</si>
  <si>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</si>
  <si>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</si>
  <si>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</si>
  <si>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</si>
  <si>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</si>
  <si>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</si>
  <si>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</si>
  <si>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</si>
  <si>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</si>
  <si>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</si>
  <si>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</si>
  <si>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</si>
  <si>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</si>
  <si>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</si>
  <si>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</si>
  <si>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</si>
  <si>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</si>
  <si>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</si>
  <si>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</si>
  <si>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</si>
  <si>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</si>
  <si>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</si>
  <si>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</si>
  <si>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</si>
  <si>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</si>
  <si>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</si>
  <si>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</si>
  <si>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</si>
  <si>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</si>
  <si>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</si>
  <si>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</si>
  <si>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</si>
  <si>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</si>
  <si>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</si>
  <si>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</si>
  <si>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</si>
  <si>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</si>
  <si>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</si>
  <si>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</si>
  <si>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</si>
  <si>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</si>
  <si>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</si>
  <si>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</si>
  <si>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</si>
  <si>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</si>
  <si>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</si>
  <si>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</si>
  <si>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</si>
  <si>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</si>
  <si>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</si>
  <si>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</si>
  <si>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</si>
  <si>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</si>
  <si>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</si>
  <si>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</si>
  <si>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</si>
  <si>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</si>
  <si>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</si>
  <si>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</si>
  <si>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</si>
  <si>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</si>
  <si>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</si>
  <si>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</si>
  <si>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</si>
  <si>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</si>
  <si>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</si>
  <si>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</si>
  <si>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</si>
  <si>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</si>
  <si>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</si>
  <si>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</si>
  <si>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</si>
  <si>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</si>
  <si>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</si>
  <si>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</si>
  <si>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</si>
  <si>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</si>
  <si>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</si>
  <si>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</si>
  <si>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</si>
  <si>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</si>
  <si>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</si>
  <si>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</si>
  <si>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</si>
  <si>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</si>
  <si>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</si>
  <si>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</si>
  <si>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</si>
  <si>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</si>
  <si>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</si>
  <si>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</si>
  <si>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</si>
  <si>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</si>
  <si>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</si>
  <si>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</si>
  <si>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</si>
  <si>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</si>
  <si>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</si>
  <si>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</si>
  <si>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</si>
  <si>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</si>
  <si>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</si>
  <si>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</si>
  <si>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</si>
  <si>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</si>
  <si>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</si>
  <si>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</si>
  <si>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</si>
  <si>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</si>
  <si>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</si>
  <si>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</si>
  <si>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</si>
  <si>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</si>
  <si>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</si>
  <si>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</si>
  <si>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</si>
  <si>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</si>
  <si>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</si>
  <si>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</si>
  <si>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</si>
  <si>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</si>
  <si>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</si>
  <si>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</si>
  <si>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</si>
  <si>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</si>
  <si>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</si>
  <si>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</si>
  <si>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</si>
  <si>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</si>
  <si>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</si>
  <si>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</si>
  <si>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</si>
  <si>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</si>
  <si>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</si>
  <si>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</si>
  <si>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</si>
  <si>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</si>
  <si>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</si>
  <si>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</si>
  <si>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</si>
  <si>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</si>
  <si>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</si>
  <si>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</si>
  <si>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</si>
  <si>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</si>
  <si>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</si>
  <si>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</si>
  <si>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</si>
  <si>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</si>
  <si>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</si>
  <si>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</si>
  <si>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</si>
  <si>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</si>
  <si>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</si>
  <si>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</si>
  <si>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</si>
  <si>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</si>
  <si>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</si>
  <si>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</si>
  <si>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</si>
  <si>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</si>
  <si>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</si>
  <si>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</si>
  <si>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</si>
  <si>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</si>
  <si>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</si>
  <si>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</si>
  <si>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</si>
  <si>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</si>
  <si>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</si>
  <si>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</si>
  <si>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</si>
  <si>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</si>
  <si>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</si>
  <si>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</si>
  <si>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</si>
  <si>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</si>
  <si>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</si>
  <si>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</si>
  <si>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</si>
  <si>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</si>
  <si>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</si>
  <si>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</si>
  <si>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</si>
  <si>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</si>
  <si>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</si>
  <si>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</si>
  <si>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</si>
  <si>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</si>
  <si>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</si>
  <si>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</si>
  <si>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</si>
  <si>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</si>
  <si>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</si>
  <si>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</si>
  <si>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</si>
  <si>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</si>
  <si>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</si>
  <si>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</si>
  <si>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</si>
  <si>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</si>
  <si>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</si>
  <si>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</si>
  <si>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</si>
  <si>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</si>
  <si>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</si>
  <si>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</si>
  <si>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</si>
  <si>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</si>
  <si>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</si>
  <si>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</si>
  <si>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</si>
  <si>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</si>
  <si>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</si>
  <si>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</si>
  <si>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</si>
  <si>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</si>
  <si>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</si>
  <si>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</si>
  <si>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</si>
  <si>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</si>
  <si>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</si>
  <si>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</si>
  <si>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</si>
  <si>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</si>
  <si>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</si>
  <si>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</si>
  <si>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</si>
  <si>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</si>
  <si>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</si>
  <si>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</si>
  <si>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</si>
  <si>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</si>
  <si>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</si>
  <si>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</si>
  <si>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</si>
  <si>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</si>
  <si>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</si>
  <si>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</si>
  <si>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</si>
  <si>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</si>
  <si>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</si>
  <si>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</si>
  <si>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</si>
  <si>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</si>
  <si>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</si>
  <si>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</si>
  <si>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</si>
  <si>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</si>
  <si>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</si>
  <si>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</si>
  <si>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</si>
  <si>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</si>
  <si>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</si>
  <si>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</si>
  <si>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</si>
  <si>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</si>
  <si>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</si>
  <si>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</si>
  <si>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</si>
  <si>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</si>
  <si>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</si>
  <si>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</si>
  <si>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</si>
  <si>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</si>
  <si>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</si>
  <si>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</si>
  <si>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</si>
  <si>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</si>
  <si>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</si>
  <si>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</si>
  <si>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</si>
  <si>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</si>
  <si>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</si>
  <si>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</si>
  <si>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</si>
  <si>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</si>
  <si>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</si>
  <si>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</si>
  <si>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</si>
  <si>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</si>
  <si>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</si>
  <si>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</si>
  <si>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</si>
  <si>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</si>
  <si>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</si>
  <si>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</si>
  <si>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</si>
  <si>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</si>
  <si>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</si>
  <si>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</si>
  <si>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</si>
  <si>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</si>
  <si>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</si>
  <si>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</si>
  <si>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</si>
  <si>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</si>
  <si>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</si>
  <si>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</si>
  <si>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</si>
  <si>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</si>
  <si>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</si>
  <si>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</si>
  <si>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</si>
  <si>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</si>
  <si>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</si>
  <si>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</si>
  <si>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</si>
  <si>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</si>
  <si>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</si>
  <si>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</si>
  <si>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</si>
  <si>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</si>
  <si>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</si>
  <si>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</si>
  <si>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</si>
  <si>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</si>
  <si>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</si>
  <si>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</si>
  <si>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</si>
  <si>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</si>
  <si>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</si>
  <si>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</si>
  <si>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</si>
  <si>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</si>
  <si>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</si>
  <si>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</si>
  <si>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</si>
  <si>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</si>
  <si>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</si>
  <si>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</si>
  <si>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</si>
  <si>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</si>
  <si>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</si>
  <si>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</si>
  <si>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</si>
  <si>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</si>
  <si>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</si>
  <si>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</si>
  <si>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</si>
  <si>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</si>
  <si>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</si>
  <si>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</si>
  <si>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</si>
  <si>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</si>
  <si>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</si>
  <si>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</si>
  <si>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</si>
  <si>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</si>
  <si>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</si>
  <si>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</si>
  <si>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</si>
  <si>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</si>
  <si>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</si>
  <si>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</si>
  <si>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</si>
  <si>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</si>
  <si>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</si>
  <si>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</si>
  <si>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</si>
  <si>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</si>
  <si>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</si>
  <si>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</si>
  <si>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</si>
  <si>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</si>
  <si>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</si>
  <si>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</si>
  <si>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</si>
  <si>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</si>
  <si>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</si>
  <si>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</si>
  <si>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</si>
  <si>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</si>
  <si>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</si>
  <si>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</si>
  <si>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</si>
  <si>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</si>
  <si>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</si>
  <si>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</si>
  <si>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</si>
  <si>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</si>
  <si>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</si>
  <si>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</si>
  <si>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</si>
  <si>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</si>
  <si>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</si>
  <si>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</si>
  <si>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</si>
  <si>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</si>
  <si>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</si>
  <si>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</si>
  <si>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</si>
  <si>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</si>
  <si>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</si>
  <si>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</si>
  <si>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</si>
  <si>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</si>
  <si>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</si>
  <si>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</si>
  <si>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</si>
  <si>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</si>
  <si>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</si>
  <si>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</si>
  <si>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</si>
  <si>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</si>
  <si>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</si>
  <si>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</si>
  <si>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</si>
  <si>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</si>
  <si>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</si>
  <si>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</si>
  <si>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</si>
  <si>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</si>
  <si>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</si>
  <si>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</si>
  <si>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</si>
  <si>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</si>
  <si>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</si>
  <si>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</si>
  <si>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</si>
  <si>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</si>
  <si>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</si>
  <si>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</si>
  <si>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</si>
  <si>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</si>
  <si>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</si>
  <si>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</si>
  <si>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</si>
  <si>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</si>
  <si>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</si>
  <si>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</si>
  <si>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</si>
  <si>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</si>
  <si>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</si>
  <si>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</si>
  <si>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</si>
  <si>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</si>
  <si>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</si>
  <si>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</si>
  <si>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</si>
  <si>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</si>
  <si>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</si>
  <si>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</si>
  <si>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</si>
  <si>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</si>
  <si>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</si>
  <si>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</si>
  <si>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</si>
  <si>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</si>
  <si>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</si>
  <si>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</si>
  <si>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</si>
  <si>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</si>
  <si>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</si>
  <si>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</si>
  <si>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</si>
  <si>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</si>
  <si>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</si>
  <si>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</si>
  <si>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</si>
  <si>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</si>
  <si>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</si>
  <si>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</si>
  <si>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</si>
  <si>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</si>
  <si>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</si>
  <si>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</si>
  <si>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</si>
  <si>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</si>
  <si>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</si>
  <si>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</si>
  <si>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</si>
  <si>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</si>
  <si>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</si>
  <si>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</si>
  <si>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</si>
  <si>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</si>
  <si>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</si>
  <si>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</si>
  <si>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</si>
  <si>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</si>
  <si>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</si>
  <si>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</si>
  <si>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</si>
  <si>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</si>
  <si>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</si>
  <si>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</si>
  <si>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</si>
  <si>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</si>
  <si>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</si>
  <si>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</si>
  <si>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</si>
  <si>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</si>
  <si>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</si>
  <si>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</si>
  <si>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</si>
  <si>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</si>
  <si>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</si>
  <si>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</si>
  <si>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</si>
  <si>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</si>
  <si>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</si>
  <si>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</si>
  <si>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</si>
  <si>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</si>
  <si>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</si>
  <si>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</si>
  <si>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</si>
  <si>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</si>
  <si>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</si>
  <si>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</si>
  <si>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</si>
  <si>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</si>
  <si>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</si>
  <si>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</si>
  <si>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</si>
  <si>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</si>
  <si>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</si>
  <si>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</si>
  <si>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</si>
  <si>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</si>
  <si>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</si>
  <si>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</si>
  <si>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</si>
  <si>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</si>
  <si>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</si>
  <si>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</si>
  <si>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</si>
  <si>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</si>
  <si>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</si>
  <si>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</si>
  <si>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</si>
  <si>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</si>
  <si>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</si>
  <si>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</si>
  <si>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</si>
  <si>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</si>
  <si>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</si>
  <si>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</si>
  <si>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</si>
  <si>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</si>
  <si>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</si>
  <si>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</si>
  <si>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</si>
  <si>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</si>
  <si>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</si>
  <si>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</si>
  <si>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</si>
  <si>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</si>
  <si>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</si>
  <si>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</si>
  <si>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</si>
  <si>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</si>
  <si>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</si>
  <si>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</si>
  <si>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</si>
  <si>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</si>
  <si>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</si>
  <si>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</si>
  <si>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</si>
  <si>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</si>
  <si>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</si>
  <si>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</si>
  <si>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</si>
  <si>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</si>
  <si>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</si>
  <si>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</si>
  <si>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</si>
  <si>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</si>
  <si>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</si>
  <si>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</si>
  <si>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</si>
  <si>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</si>
  <si>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</si>
  <si>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</si>
  <si>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</si>
  <si>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</si>
  <si>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</si>
  <si>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</si>
  <si>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</si>
  <si>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</si>
  <si>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</si>
  <si>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</si>
  <si>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</si>
  <si>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</si>
  <si>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</si>
  <si>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</si>
  <si>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</si>
  <si>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</si>
  <si>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</si>
  <si>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</si>
  <si>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</si>
  <si>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</si>
  <si>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</si>
  <si>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</si>
  <si>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</si>
  <si>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</si>
  <si>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</si>
  <si>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</si>
  <si>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</si>
  <si>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</si>
  <si>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</si>
  <si>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</si>
  <si>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</si>
  <si>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</si>
  <si>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</si>
  <si>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</si>
  <si>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</si>
  <si>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</si>
  <si>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</si>
  <si>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</si>
  <si>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</si>
  <si>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</si>
  <si>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</si>
  <si>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</si>
  <si>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</si>
  <si>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</si>
  <si>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</si>
  <si>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</si>
  <si>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</si>
  <si>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</si>
  <si>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</si>
  <si>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</si>
  <si>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</si>
  <si>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</si>
  <si>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</si>
  <si>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</si>
  <si>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</si>
  <si>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</si>
  <si>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</si>
  <si>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</si>
  <si>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</si>
  <si>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</si>
  <si>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</si>
  <si>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</si>
  <si>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</si>
  <si>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</si>
  <si>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</si>
  <si>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</si>
  <si>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</si>
  <si>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</si>
  <si>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</si>
  <si>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</si>
  <si>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</si>
  <si>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</si>
  <si>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</si>
  <si>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</si>
  <si>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</si>
  <si>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</si>
  <si>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</si>
  <si>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</si>
  <si>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</si>
  <si>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</si>
  <si>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</si>
  <si>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</si>
  <si>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</si>
  <si>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</si>
  <si>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</si>
  <si>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</si>
  <si>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</si>
  <si>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</si>
  <si>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</si>
  <si>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</si>
  <si>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</si>
  <si>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</si>
  <si>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</si>
  <si>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</si>
  <si>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</si>
  <si>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</si>
  <si>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</si>
  <si>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</si>
  <si>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</si>
  <si>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</si>
  <si>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</si>
  <si>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</si>
  <si>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</si>
  <si>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</si>
  <si>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</si>
  <si>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</si>
  <si>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</si>
  <si>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</si>
  <si>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</si>
  <si>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</si>
  <si>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</si>
  <si>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</si>
  <si>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</si>
  <si>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</si>
  <si>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</si>
  <si>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</si>
  <si>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</si>
  <si>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</si>
  <si>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</si>
  <si>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</si>
  <si>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</si>
  <si>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</si>
  <si>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</si>
  <si>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</si>
  <si>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</si>
  <si>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</si>
  <si>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</si>
  <si>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</si>
  <si>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</si>
  <si>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</si>
  <si>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</si>
  <si>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</si>
  <si>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</si>
  <si>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</si>
  <si>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</si>
  <si>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</si>
  <si>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</si>
  <si>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</si>
  <si>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</si>
  <si>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</si>
  <si>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</si>
  <si>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</si>
  <si>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</si>
  <si>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</si>
  <si>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</si>
  <si>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</si>
  <si>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</si>
  <si>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</si>
  <si>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</si>
  <si>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</si>
  <si>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</si>
  <si>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</si>
  <si>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</si>
  <si>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</si>
  <si>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</si>
  <si>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</si>
  <si>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</si>
  <si>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</si>
  <si>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</si>
  <si>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</si>
  <si>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</si>
  <si>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</si>
  <si>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</si>
  <si>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</si>
  <si>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</si>
  <si>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</si>
  <si>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</si>
  <si>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</si>
  <si>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</si>
  <si>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</si>
  <si>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</si>
  <si>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</si>
  <si>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</si>
  <si>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</si>
  <si>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</si>
  <si>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</si>
  <si>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</si>
  <si>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</si>
  <si>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</si>
  <si>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</si>
  <si>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</si>
  <si>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</si>
  <si>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</si>
  <si>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</si>
  <si>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</si>
  <si>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</si>
  <si>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</si>
  <si>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</si>
  <si>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</si>
  <si>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</si>
  <si>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</si>
  <si>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</si>
  <si>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</si>
  <si>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</si>
  <si>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</si>
  <si>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</si>
  <si>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</si>
  <si>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</si>
  <si>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</si>
  <si>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</si>
  <si>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</si>
  <si>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</si>
  <si>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</si>
  <si>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</si>
  <si>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</si>
  <si>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</si>
  <si>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</si>
  <si>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</si>
  <si>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</si>
  <si>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</si>
  <si>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</si>
  <si>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</si>
  <si>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</si>
  <si>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</si>
  <si>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</si>
  <si>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</si>
  <si>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</si>
  <si>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</si>
  <si>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</si>
  <si>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</si>
  <si>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</si>
  <si>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</si>
  <si>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</si>
  <si>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</si>
  <si>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</si>
  <si>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</si>
  <si>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</si>
  <si>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</si>
  <si>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</si>
  <si>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</si>
  <si>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</si>
  <si>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</si>
  <si>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</si>
  <si>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</si>
  <si>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</si>
  <si>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</si>
  <si>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</si>
  <si>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</si>
  <si>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</si>
  <si>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</si>
  <si>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</si>
  <si>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</si>
  <si>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</si>
  <si>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</si>
  <si>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</si>
  <si>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</si>
  <si>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</si>
  <si>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</si>
  <si>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</si>
  <si>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</si>
  <si>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</si>
  <si>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</si>
  <si>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</si>
  <si>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</si>
  <si>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</si>
  <si>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</si>
  <si>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</si>
  <si>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</si>
  <si>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</si>
  <si>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</si>
  <si>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</si>
  <si>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</si>
  <si>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</si>
  <si>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</si>
  <si>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</si>
  <si>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</si>
  <si>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</si>
  <si>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</si>
  <si>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</si>
  <si>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</si>
  <si>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</si>
  <si>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</si>
  <si>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</si>
  <si>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</si>
  <si>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</si>
  <si>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</si>
  <si>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</si>
  <si>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</si>
  <si>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</si>
  <si>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</si>
  <si>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</si>
  <si>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</si>
  <si>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</si>
  <si>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</si>
  <si>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</si>
  <si>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</si>
  <si>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</si>
  <si>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</si>
  <si>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</si>
  <si>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</si>
  <si>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</si>
  <si>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</si>
  <si>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</si>
  <si>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</si>
  <si>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</si>
  <si>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</si>
  <si>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</si>
  <si>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</si>
  <si>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</si>
  <si>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</si>
  <si>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</si>
  <si>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</si>
  <si>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</si>
  <si>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</si>
  <si>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</si>
  <si>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</si>
  <si>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</si>
  <si>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</si>
  <si>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</si>
  <si>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</si>
  <si>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</si>
  <si>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</si>
  <si>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</si>
  <si>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</si>
  <si>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</si>
  <si>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</si>
  <si>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</si>
  <si>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</si>
  <si>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</si>
  <si>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</si>
  <si>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</si>
  <si>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</si>
  <si>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</si>
  <si>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</si>
  <si>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</si>
  <si>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</si>
  <si>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</si>
  <si>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</si>
  <si>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</si>
  <si>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</si>
  <si>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</si>
  <si>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</si>
  <si>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</si>
  <si>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</si>
  <si>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</si>
  <si>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</si>
  <si>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</si>
  <si>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</si>
  <si>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</si>
  <si>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</si>
  <si>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</si>
  <si>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</si>
  <si>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</si>
  <si>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</si>
  <si>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</si>
  <si>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</si>
  <si>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</si>
  <si>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</si>
  <si>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</si>
  <si>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</si>
  <si>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</si>
  <si>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</si>
  <si>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</si>
  <si>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</si>
  <si>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</si>
  <si>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</si>
  <si>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</si>
  <si>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</si>
  <si>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</si>
  <si>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</si>
  <si>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</si>
  <si>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</si>
  <si>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</si>
  <si>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</si>
  <si>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</si>
  <si>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</si>
  <si>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</si>
  <si>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</si>
  <si>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</si>
  <si>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</si>
  <si>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</si>
  <si>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</si>
  <si>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</si>
  <si>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</si>
  <si>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</si>
  <si>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</si>
  <si>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</si>
  <si>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</si>
  <si>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</si>
  <si>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</si>
  <si>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</si>
  <si>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</si>
  <si>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</si>
  <si>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</si>
  <si>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</si>
  <si>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</si>
  <si>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</si>
  <si>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</si>
  <si>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</si>
  <si>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</si>
  <si>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</si>
  <si>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</si>
  <si>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</si>
  <si>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</si>
  <si>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</si>
  <si>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</si>
  <si>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</si>
  <si>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</si>
  <si>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</si>
  <si>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</si>
  <si>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</si>
  <si>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</si>
  <si>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</si>
  <si>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</si>
  <si>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</si>
  <si>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</si>
  <si>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</si>
  <si>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</si>
  <si>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</si>
  <si>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</si>
  <si>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</si>
  <si>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</si>
  <si>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</si>
  <si>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</si>
  <si>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</si>
  <si>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</si>
  <si>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</si>
  <si>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</si>
  <si>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</si>
  <si>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</si>
  <si>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</si>
  <si>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</si>
  <si>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</si>
  <si>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</si>
  <si>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</si>
  <si>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</si>
  <si>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</si>
  <si>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</si>
  <si>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</si>
  <si>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</si>
  <si>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</si>
  <si>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</si>
  <si>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</si>
  <si>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</si>
  <si>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</si>
  <si>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</si>
  <si>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</si>
  <si>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</si>
  <si>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</si>
  <si>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</si>
  <si>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</si>
  <si>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</si>
  <si>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</si>
  <si>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</si>
  <si>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</si>
  <si>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</si>
  <si>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</si>
  <si>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</si>
  <si>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</si>
  <si>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</si>
  <si>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</si>
  <si>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</si>
  <si>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</si>
  <si>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</si>
  <si>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</si>
  <si>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</si>
  <si>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</si>
  <si>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</si>
  <si>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</si>
  <si>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</si>
  <si>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</si>
  <si>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</si>
  <si>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</si>
  <si>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</si>
  <si>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</si>
  <si>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</si>
  <si>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</si>
  <si>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</si>
  <si>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</si>
  <si>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</si>
  <si>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</si>
  <si>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</si>
  <si>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</si>
  <si>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</si>
  <si>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</si>
  <si>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</si>
  <si>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</si>
  <si>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</si>
  <si>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</si>
  <si>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</si>
  <si>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</si>
  <si>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</si>
  <si>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</si>
  <si>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</si>
  <si>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</si>
  <si>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</si>
  <si>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</si>
  <si>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</si>
  <si>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</si>
  <si>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</si>
  <si>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</si>
  <si>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</si>
  <si>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</si>
  <si>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</si>
  <si>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</si>
  <si>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</si>
  <si>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</si>
  <si>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</si>
  <si>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</si>
  <si>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</si>
  <si>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</si>
  <si>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</si>
  <si>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</si>
  <si>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</si>
  <si>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</si>
  <si>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</si>
  <si>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</si>
  <si>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</si>
  <si>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</si>
  <si>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</si>
  <si>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</si>
  <si>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</si>
  <si>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</si>
  <si>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</si>
  <si>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</si>
  <si>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</si>
  <si>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</si>
  <si>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</si>
  <si>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</si>
  <si>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</si>
  <si>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</si>
  <si>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</si>
  <si>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</si>
  <si>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</si>
  <si>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</si>
  <si>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</si>
  <si>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</si>
  <si>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</si>
  <si>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</si>
  <si>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</si>
  <si>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</si>
  <si>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</si>
  <si>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</si>
  <si>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</si>
  <si>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</si>
  <si>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</si>
  <si>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</si>
  <si>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</si>
  <si>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</si>
  <si>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</si>
  <si>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</si>
  <si>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</si>
  <si>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</si>
  <si>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</si>
  <si>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</si>
  <si>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</si>
  <si>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</si>
  <si>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</si>
  <si>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</si>
  <si>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</si>
  <si>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</si>
  <si>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</si>
  <si>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</si>
  <si>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</si>
  <si>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</si>
  <si>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</si>
  <si>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</si>
  <si>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</si>
  <si>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</si>
  <si>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</si>
  <si>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</si>
  <si>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</si>
  <si>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</si>
  <si>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</si>
  <si>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</si>
  <si>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</si>
  <si>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</si>
  <si>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</si>
  <si>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</si>
  <si>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</si>
  <si>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</si>
  <si>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</si>
  <si>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</si>
  <si>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</si>
  <si>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</si>
  <si>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</si>
  <si>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</si>
  <si>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</si>
  <si>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</si>
  <si>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</si>
  <si>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</si>
  <si>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</si>
  <si>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</si>
  <si>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</si>
  <si>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</si>
  <si>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</si>
  <si>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</si>
  <si>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</si>
  <si>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</si>
  <si>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</si>
  <si>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</si>
  <si>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</si>
  <si>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</si>
  <si>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</si>
  <si>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</si>
  <si>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</si>
  <si>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</si>
  <si>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</si>
  <si>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</si>
  <si>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</si>
  <si>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</si>
  <si>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</si>
  <si>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</si>
  <si>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</si>
  <si>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</si>
  <si>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</si>
  <si>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</si>
  <si>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</si>
  <si>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</si>
  <si>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</si>
  <si>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</si>
  <si>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</si>
  <si>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</si>
  <si>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</si>
  <si>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</si>
  <si>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</si>
  <si>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</si>
  <si>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</si>
  <si>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</si>
  <si>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</si>
  <si>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</si>
  <si>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</si>
  <si>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</si>
  <si>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</si>
  <si>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</si>
  <si>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</si>
  <si>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</si>
  <si>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</si>
  <si>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</si>
  <si>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</si>
  <si>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</si>
  <si>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</si>
  <si>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</si>
  <si>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</si>
  <si>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</si>
  <si>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</si>
  <si>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</si>
  <si>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</si>
  <si>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</si>
  <si>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</si>
  <si>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</si>
  <si>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</si>
  <si>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</si>
  <si>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</si>
  <si>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</si>
  <si>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</si>
  <si>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</si>
  <si>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</si>
  <si>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</si>
  <si>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</si>
  <si>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</si>
  <si>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</si>
  <si>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</si>
  <si>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</si>
  <si>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</si>
  <si>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</si>
  <si>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</si>
  <si>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</si>
  <si>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</si>
  <si>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</si>
  <si>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</si>
  <si>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</si>
  <si>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</si>
  <si>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</si>
  <si>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</si>
  <si>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</si>
  <si>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</si>
  <si>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</si>
  <si>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</si>
  <si>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</si>
  <si>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</si>
  <si>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</si>
  <si>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</si>
  <si>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</si>
  <si>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</si>
  <si>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</si>
  <si>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</si>
  <si>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</si>
  <si>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</si>
  <si>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</si>
  <si>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</si>
  <si>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</si>
  <si>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</si>
  <si>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</si>
  <si>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</si>
  <si>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</si>
  <si>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</si>
  <si>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</si>
  <si>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</si>
  <si>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</si>
  <si>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</si>
  <si>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</si>
  <si>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</si>
  <si>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</si>
  <si>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</si>
  <si>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</si>
  <si>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</si>
  <si>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</si>
  <si>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</si>
  <si>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</si>
  <si>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</si>
  <si>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</si>
  <si>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</si>
  <si>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</si>
  <si>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</si>
  <si>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</si>
  <si>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</si>
  <si>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</si>
  <si>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</si>
  <si>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</si>
  <si>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</si>
  <si>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</si>
  <si>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</si>
  <si>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</si>
  <si>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</si>
  <si>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</si>
  <si>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</si>
  <si>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</si>
  <si>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</si>
  <si>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</si>
  <si>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</si>
  <si>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</si>
  <si>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</si>
  <si>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</si>
  <si>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</si>
  <si>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</si>
  <si>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</si>
  <si>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</si>
  <si>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</si>
  <si>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</si>
  <si>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</si>
  <si>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</si>
  <si>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</si>
  <si>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</si>
  <si>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</si>
  <si>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</si>
  <si>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</si>
  <si>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</si>
  <si>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</si>
  <si>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</si>
  <si>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</si>
  <si>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</si>
  <si>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</si>
  <si>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</si>
  <si>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</si>
  <si>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</si>
  <si>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</si>
  <si>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</si>
  <si>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</si>
  <si>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</si>
  <si>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</si>
  <si>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</si>
  <si>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</si>
  <si>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</si>
  <si>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</si>
  <si>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</si>
  <si>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</si>
  <si>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</si>
  <si>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</si>
  <si>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</si>
  <si>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</si>
  <si>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</si>
  <si>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</si>
  <si>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</si>
  <si>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</si>
  <si>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</si>
  <si>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</si>
  <si>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</si>
  <si>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</si>
  <si>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</si>
  <si>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</si>
  <si>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</si>
  <si>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</si>
  <si>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</si>
  <si>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</si>
  <si>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</si>
  <si>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</si>
  <si>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</si>
  <si>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</si>
  <si>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</si>
  <si>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</si>
  <si>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</si>
  <si>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</si>
  <si>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</si>
  <si>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</si>
  <si>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</si>
  <si>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</si>
  <si>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</si>
  <si>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</si>
  <si>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</si>
  <si>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</si>
  <si>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</si>
  <si>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</si>
  <si>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</si>
  <si>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</si>
  <si>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</si>
  <si>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</si>
  <si>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</si>
  <si>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</si>
  <si>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</si>
  <si>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</si>
  <si>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</si>
  <si>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</si>
  <si>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</si>
  <si>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</si>
  <si>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</si>
  <si>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</si>
  <si>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</si>
  <si>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</si>
  <si>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</si>
  <si>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</si>
  <si>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</si>
  <si>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</si>
  <si>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</si>
  <si>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</si>
  <si>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</si>
  <si>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</si>
  <si>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</si>
  <si>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</si>
  <si>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</si>
  <si>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</si>
  <si>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</si>
  <si>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</si>
  <si>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</si>
  <si>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</si>
  <si>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</si>
  <si>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</si>
  <si>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</si>
  <si>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</si>
  <si>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</si>
  <si>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</si>
  <si>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</si>
  <si>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</si>
  <si>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</si>
  <si>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</si>
  <si>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</si>
  <si>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</si>
  <si>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</si>
  <si>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</si>
  <si>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</si>
  <si>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</si>
  <si>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</si>
  <si>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</si>
  <si>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</si>
  <si>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</si>
  <si>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</si>
  <si>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</si>
  <si>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</si>
  <si>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</si>
  <si>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</si>
  <si>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</si>
  <si>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</si>
  <si>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</si>
  <si>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</si>
  <si>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</si>
  <si>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</si>
  <si>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</si>
  <si>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</si>
  <si>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</si>
  <si>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</si>
  <si>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</si>
  <si>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</si>
  <si>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</si>
  <si>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</si>
  <si>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</si>
  <si>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</si>
  <si>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</si>
  <si>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</si>
  <si>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</si>
  <si>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</si>
  <si>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</si>
  <si>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</si>
  <si>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</si>
  <si>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</si>
  <si>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</si>
  <si>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</si>
  <si>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</si>
  <si>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</si>
  <si>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</si>
  <si>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</si>
  <si>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</si>
  <si>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</si>
  <si>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</si>
  <si>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</si>
  <si>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</si>
  <si>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</si>
  <si>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</si>
  <si>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</si>
  <si>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</si>
  <si>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</si>
  <si>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</si>
  <si>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</si>
  <si>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</si>
  <si>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</si>
  <si>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</si>
  <si>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</si>
  <si>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</si>
  <si>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</si>
  <si>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</si>
  <si>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</si>
  <si>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</si>
  <si>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</si>
  <si>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</si>
  <si>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</si>
  <si>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</si>
  <si>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</si>
  <si>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</si>
  <si>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</si>
  <si>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</si>
  <si>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</si>
  <si>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</si>
  <si>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</si>
  <si>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</si>
  <si>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</si>
  <si>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</si>
  <si>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</si>
  <si>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</si>
  <si>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</si>
  <si>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</si>
  <si>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</si>
  <si>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</si>
  <si>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</si>
  <si>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</si>
  <si>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</si>
  <si>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</si>
  <si>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</si>
  <si>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</si>
  <si>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</si>
  <si>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</si>
  <si>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</si>
  <si>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</si>
  <si>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</si>
  <si>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</si>
  <si>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</si>
  <si>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</si>
  <si>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</si>
  <si>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</si>
  <si>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</si>
  <si>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</si>
  <si>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</si>
  <si>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</si>
  <si>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</si>
  <si>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</si>
  <si>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</si>
  <si>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</si>
  <si>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</si>
  <si>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</si>
  <si>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</si>
  <si>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</si>
  <si>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</si>
  <si>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</si>
  <si>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</si>
  <si>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</si>
  <si>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</si>
  <si>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</si>
  <si>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</si>
  <si>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</si>
  <si>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</si>
  <si>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</si>
  <si>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</si>
  <si>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</si>
  <si>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</si>
  <si>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</si>
  <si>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</si>
  <si>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</si>
  <si>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</si>
  <si>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</si>
  <si>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</si>
  <si>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</si>
  <si>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</si>
  <si>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</si>
  <si>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</si>
  <si>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</si>
  <si>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</si>
  <si>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</si>
  <si>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</si>
  <si>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</si>
  <si>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</si>
  <si>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</si>
  <si>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</si>
  <si>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</si>
  <si>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</si>
  <si>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</si>
  <si>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</si>
  <si>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</si>
  <si>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</si>
  <si>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</si>
  <si>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</si>
  <si>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</si>
  <si>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</si>
  <si>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</si>
  <si>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</si>
  <si>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</si>
  <si>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</si>
  <si>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</si>
  <si>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</si>
  <si>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</si>
  <si>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</si>
  <si>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</si>
  <si>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</si>
  <si>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</si>
  <si>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</si>
  <si>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</si>
  <si>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</si>
  <si>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</si>
  <si>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</si>
  <si>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</si>
  <si>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</si>
  <si>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</si>
  <si>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</si>
  <si>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</si>
  <si>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</si>
  <si>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</si>
  <si>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</si>
  <si>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</si>
  <si>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</si>
  <si>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</si>
  <si>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</si>
  <si>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</si>
  <si>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</si>
  <si>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</si>
  <si>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</si>
  <si>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</si>
  <si>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</si>
  <si>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</si>
  <si>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</si>
  <si>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</si>
  <si>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</si>
  <si>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</si>
  <si>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</si>
  <si>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</si>
  <si>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</si>
  <si>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</si>
  <si>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</si>
  <si>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</si>
  <si>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</si>
  <si>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</si>
  <si>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</si>
  <si>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</si>
  <si>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</si>
  <si>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</si>
  <si>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</si>
  <si>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</si>
  <si>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</si>
  <si>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</si>
  <si>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</si>
  <si>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</si>
  <si>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</si>
  <si>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</si>
  <si>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</si>
  <si>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</si>
  <si>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</si>
  <si>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</si>
  <si>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</si>
  <si>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</si>
  <si>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</si>
  <si>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</si>
  <si>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</si>
  <si>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</si>
  <si>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</si>
  <si>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</si>
  <si>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</si>
  <si>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</si>
  <si>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</si>
  <si>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</si>
  <si>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</si>
  <si>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</si>
  <si>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</si>
  <si>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</si>
  <si>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</si>
  <si>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</si>
  <si>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</si>
  <si>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</si>
  <si>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</si>
  <si>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</si>
  <si>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</si>
  <si>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</si>
  <si>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</si>
  <si>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</si>
  <si>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</si>
  <si>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</si>
  <si>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</si>
  <si>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</si>
  <si>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</si>
  <si>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</si>
  <si>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</si>
  <si>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</si>
  <si>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</si>
  <si>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</si>
  <si>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</si>
  <si>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</si>
  <si>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</si>
  <si>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</si>
  <si>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</si>
  <si>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</si>
  <si>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</si>
  <si>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</si>
  <si>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</si>
  <si>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</si>
  <si>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</si>
  <si>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</si>
  <si>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</si>
  <si>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</si>
  <si>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</si>
  <si>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</si>
  <si>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</si>
  <si>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</si>
  <si>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</si>
  <si>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</si>
  <si>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</si>
  <si>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</si>
  <si>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</si>
  <si>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</si>
  <si>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</si>
  <si>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</si>
  <si>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</si>
  <si>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</si>
  <si>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</si>
  <si>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</si>
  <si>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</si>
  <si>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</si>
  <si>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</si>
  <si>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</si>
  <si>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</si>
  <si>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</si>
  <si>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</si>
  <si>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</si>
  <si>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</si>
  <si>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</si>
  <si>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</si>
  <si>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</si>
  <si>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</si>
  <si>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</si>
  <si>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</si>
  <si>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</si>
  <si>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</si>
  <si>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</si>
  <si>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</si>
  <si>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</si>
  <si>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</si>
  <si>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</si>
  <si>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</si>
  <si>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</si>
  <si>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</si>
  <si>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</si>
  <si>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</si>
  <si>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</si>
  <si>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</si>
  <si>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</si>
  <si>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</si>
  <si>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</si>
  <si>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</si>
  <si>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</si>
  <si>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</si>
  <si>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</si>
  <si>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</si>
  <si>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</si>
  <si>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</si>
  <si>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</si>
  <si>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</si>
  <si>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</si>
  <si>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</si>
  <si>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</si>
  <si>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</si>
  <si>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</si>
  <si>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</si>
  <si>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</si>
  <si>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</si>
  <si>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</si>
  <si>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</si>
  <si>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</si>
  <si>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</si>
  <si>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</si>
  <si>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</si>
  <si>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</si>
  <si>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</si>
  <si>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</si>
  <si>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</si>
  <si>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</si>
  <si>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</si>
  <si>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</si>
  <si>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</si>
  <si>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</si>
  <si>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</si>
  <si>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</si>
  <si>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</si>
  <si>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</si>
  <si>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</si>
  <si>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</si>
  <si>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</si>
  <si>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</si>
  <si>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</si>
  <si>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</si>
  <si>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</si>
  <si>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</si>
  <si>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</si>
  <si>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</si>
  <si>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</si>
  <si>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</si>
  <si>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</si>
  <si>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</si>
  <si>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</si>
  <si>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</si>
  <si>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</si>
  <si>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</si>
  <si>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</si>
  <si>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</si>
  <si>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</si>
  <si>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</si>
  <si>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</si>
  <si>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</si>
  <si>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</si>
  <si>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</si>
  <si>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</si>
  <si>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</si>
  <si>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</si>
  <si>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</si>
  <si>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</si>
  <si>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</si>
  <si>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</si>
  <si>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</si>
  <si>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</si>
  <si>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</si>
  <si>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</si>
  <si>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</si>
  <si>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</si>
  <si>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</si>
  <si>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</si>
  <si>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</si>
  <si>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</si>
  <si>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</si>
  <si>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</si>
  <si>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</si>
  <si>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</si>
  <si>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</si>
  <si>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</si>
  <si>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</si>
  <si>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</si>
  <si>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</si>
  <si>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</si>
  <si>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</si>
  <si>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</si>
  <si>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</si>
  <si>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</si>
  <si>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</si>
  <si>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</si>
  <si>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</si>
  <si>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</si>
  <si>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</si>
  <si>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</si>
  <si>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</si>
  <si>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</si>
  <si>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</si>
  <si>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</si>
  <si>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</si>
  <si>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</si>
  <si>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</si>
  <si>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</si>
  <si>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</si>
  <si>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</si>
  <si>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</si>
  <si>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</si>
  <si>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</si>
  <si>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</si>
  <si>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</si>
  <si>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</si>
  <si>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</si>
  <si>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</si>
  <si>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</si>
  <si>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</si>
  <si>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</si>
  <si>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</si>
  <si>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</si>
  <si>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</si>
  <si>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</si>
  <si>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</si>
  <si>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</si>
  <si>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</si>
  <si>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</si>
  <si>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</si>
  <si>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</si>
  <si>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</si>
  <si>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</si>
  <si>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</si>
  <si>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</si>
  <si>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</si>
  <si>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</si>
  <si>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</si>
  <si>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</si>
  <si>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</si>
  <si>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</si>
  <si>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</si>
  <si>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</si>
  <si>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</si>
  <si>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</si>
  <si>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</si>
  <si>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</si>
  <si>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</si>
  <si>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</si>
  <si>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</si>
  <si>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</si>
  <si>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</si>
  <si>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</si>
  <si>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</si>
  <si>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</si>
  <si>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</si>
  <si>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</si>
  <si>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</si>
  <si>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</si>
  <si>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</si>
  <si>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</si>
  <si>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</si>
  <si>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</si>
  <si>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</si>
  <si>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</si>
  <si>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</si>
  <si>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</si>
  <si>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</si>
  <si>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</si>
  <si>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</si>
  <si>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</si>
  <si>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</si>
  <si>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</si>
  <si>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</si>
  <si>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</si>
  <si>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</si>
  <si>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</si>
  <si>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</si>
  <si>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</si>
  <si>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</si>
  <si>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</si>
  <si>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</si>
  <si>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</si>
  <si>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</si>
  <si>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</si>
  <si>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</si>
  <si>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</si>
  <si>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</si>
  <si>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</si>
  <si>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</si>
  <si>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</si>
  <si>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</si>
  <si>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</si>
  <si>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</si>
  <si>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</si>
  <si>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</si>
  <si>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</si>
  <si>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</si>
  <si>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</si>
  <si>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</si>
  <si>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</si>
  <si>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</si>
  <si>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</si>
  <si>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</si>
  <si>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</si>
  <si>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</si>
  <si>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</si>
  <si>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</si>
  <si>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</si>
  <si>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</si>
  <si>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</si>
  <si>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</si>
  <si>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</si>
  <si>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</si>
  <si>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</si>
  <si>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</si>
  <si>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</si>
  <si>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</si>
  <si>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</si>
  <si>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</si>
  <si>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</si>
  <si>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</si>
  <si>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</si>
  <si>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</si>
  <si>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</si>
  <si>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</si>
  <si>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</si>
  <si>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</si>
  <si>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</si>
  <si>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</si>
  <si>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</si>
  <si>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</si>
  <si>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</si>
  <si>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</si>
  <si>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</si>
  <si>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</si>
  <si>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</si>
  <si>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</si>
  <si>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</si>
  <si>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</si>
  <si>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</si>
  <si>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</si>
  <si>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</si>
  <si>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</si>
  <si>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</si>
  <si>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</si>
  <si>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</si>
  <si>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</si>
  <si>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</si>
  <si>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</si>
  <si>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</si>
  <si>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</si>
  <si>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</si>
  <si>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</si>
  <si>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</si>
  <si>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</si>
  <si>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</si>
  <si>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</si>
  <si>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</si>
  <si>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</si>
  <si>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</si>
  <si>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</si>
  <si>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</si>
  <si>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</si>
  <si>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</si>
  <si>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</si>
  <si>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</si>
  <si>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</si>
  <si>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</si>
  <si>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</si>
  <si>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</si>
  <si>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</si>
  <si>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</si>
  <si>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</si>
  <si>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</si>
  <si>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</si>
  <si>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</si>
  <si>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</si>
  <si>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</si>
  <si>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</si>
  <si>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</si>
  <si>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</si>
  <si>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</si>
  <si>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</si>
  <si>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</si>
  <si>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</si>
  <si>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</si>
  <si>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</si>
  <si>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</si>
  <si>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</si>
  <si>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</si>
  <si>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</si>
  <si>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</si>
  <si>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</si>
  <si>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</si>
  <si>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</si>
  <si>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</si>
  <si>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</si>
  <si>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</si>
  <si>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</si>
  <si>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</si>
  <si>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</si>
  <si>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</si>
  <si>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</si>
  <si>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</si>
  <si>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</si>
  <si>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</si>
  <si>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</si>
  <si>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</si>
  <si>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</si>
  <si>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</si>
  <si>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</si>
  <si>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</si>
  <si>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</si>
  <si>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</si>
  <si>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</si>
  <si>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</si>
  <si>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</si>
  <si>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</si>
  <si>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</si>
  <si>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</si>
  <si>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</si>
  <si>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</si>
  <si>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</si>
  <si>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</si>
  <si>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</si>
  <si>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</si>
  <si>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</si>
  <si>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</si>
  <si>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</si>
  <si>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</si>
  <si>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</si>
  <si>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</si>
  <si>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</si>
  <si>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</si>
  <si>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</si>
  <si>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</si>
  <si>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</si>
  <si>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</si>
  <si>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</si>
  <si>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</si>
  <si>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</si>
  <si>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</si>
  <si>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</si>
  <si>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</si>
  <si>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</si>
  <si>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</si>
  <si>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</si>
  <si>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</si>
  <si>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</si>
  <si>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</si>
  <si>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</si>
  <si>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</si>
  <si>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</si>
  <si>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</si>
  <si>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</si>
  <si>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</si>
  <si>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</si>
  <si>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</si>
  <si>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</si>
  <si>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</si>
  <si>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</si>
  <si>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</si>
  <si>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</si>
  <si>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</si>
  <si>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</si>
  <si>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</si>
  <si>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</si>
  <si>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</si>
  <si>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</si>
  <si>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</si>
  <si>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</si>
  <si>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</si>
  <si>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</si>
  <si>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</si>
  <si>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</si>
  <si>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</si>
  <si>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</si>
  <si>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</si>
  <si>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</si>
  <si>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</si>
  <si>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</si>
  <si>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</si>
  <si>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</si>
  <si>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</si>
  <si>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</si>
  <si>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</si>
  <si>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</si>
  <si>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</si>
  <si>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</si>
  <si>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</si>
  <si>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</si>
  <si>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</si>
  <si>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</si>
  <si>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</si>
  <si>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</si>
  <si>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</si>
  <si>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</si>
  <si>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</si>
  <si>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</si>
  <si>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</si>
  <si>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</si>
  <si>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</si>
  <si>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</si>
  <si>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</si>
  <si>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</si>
  <si>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</si>
  <si>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</si>
  <si>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</si>
  <si>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</si>
  <si>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</si>
  <si>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</si>
  <si>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</si>
  <si>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</si>
  <si>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</si>
  <si>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</si>
  <si>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</si>
  <si>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</si>
  <si>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</si>
  <si>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</si>
  <si>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</si>
  <si>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</si>
  <si>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</si>
  <si>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</si>
  <si>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</si>
  <si>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</si>
  <si>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</si>
  <si>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</si>
  <si>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</si>
  <si>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</si>
  <si>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</si>
  <si>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</si>
  <si>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</si>
  <si>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</si>
  <si>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</si>
  <si>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</si>
  <si>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</si>
  <si>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</si>
  <si>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</si>
  <si>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</si>
  <si>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</si>
  <si>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</si>
  <si>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</si>
  <si>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</si>
  <si>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</si>
  <si>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</si>
  <si>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</si>
  <si>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</si>
  <si>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</si>
  <si>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</si>
  <si>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</si>
  <si>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</si>
  <si>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</si>
  <si>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</si>
  <si>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</si>
  <si>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</si>
  <si>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</si>
  <si>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</si>
  <si>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</si>
  <si>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</si>
  <si>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</si>
  <si>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</si>
  <si>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</si>
  <si>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</si>
  <si>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</si>
  <si>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</si>
  <si>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</si>
  <si>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</si>
  <si>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</si>
  <si>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</si>
  <si>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</si>
  <si>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</si>
  <si>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</si>
  <si>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</si>
  <si>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</si>
  <si>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</si>
  <si>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</si>
  <si>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</si>
  <si>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</si>
  <si>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</si>
  <si>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</si>
  <si>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</si>
  <si>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</si>
  <si>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</si>
  <si>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</si>
  <si>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</si>
  <si>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</si>
  <si>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</si>
  <si>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</si>
  <si>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</si>
  <si>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</si>
  <si>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</si>
  <si>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</si>
  <si>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</si>
  <si>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</si>
  <si>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</si>
  <si>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</si>
  <si>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</si>
  <si>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</si>
  <si>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</si>
  <si>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</si>
  <si>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</si>
  <si>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</si>
  <si>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</si>
  <si>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</si>
  <si>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</si>
  <si>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</si>
  <si>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</si>
  <si>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</si>
  <si>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</si>
  <si>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</si>
  <si>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</si>
  <si>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</si>
  <si>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</si>
  <si>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</si>
  <si>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</si>
  <si>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</si>
  <si>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</si>
  <si>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</si>
  <si>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</si>
  <si>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</si>
  <si>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</si>
  <si>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</si>
  <si>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</si>
  <si>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</si>
  <si>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</si>
  <si>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</si>
  <si>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</si>
  <si>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</si>
  <si>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</si>
  <si>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</si>
  <si>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</si>
  <si>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</si>
  <si>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</si>
  <si>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</si>
  <si>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</si>
  <si>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</si>
  <si>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</si>
  <si>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</si>
  <si>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</si>
  <si>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</si>
  <si>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</si>
  <si>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</si>
  <si>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</si>
  <si>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</si>
  <si>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</si>
  <si>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</si>
  <si>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</si>
  <si>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</si>
  <si>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</si>
  <si>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</si>
  <si>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</si>
  <si>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</si>
  <si>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</si>
  <si>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</si>
  <si>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</si>
  <si>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</si>
  <si>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</si>
  <si>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</si>
  <si>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</si>
  <si>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</si>
  <si>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</si>
  <si>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</si>
  <si>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</si>
  <si>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</si>
  <si>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</si>
  <si>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</si>
  <si>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</si>
  <si>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</si>
  <si>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</si>
  <si>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</si>
  <si>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</si>
  <si>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</si>
  <si>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</si>
  <si>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</si>
  <si>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</si>
  <si>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</si>
  <si>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</si>
  <si>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</si>
  <si>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</si>
  <si>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</si>
  <si>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</si>
  <si>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</si>
  <si>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</si>
  <si>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</si>
  <si>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</si>
  <si>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</si>
  <si>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</si>
  <si>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</si>
  <si>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</si>
  <si>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</si>
  <si>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</si>
  <si>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</si>
  <si>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</si>
  <si>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</si>
  <si>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</si>
  <si>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</si>
  <si>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</si>
  <si>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</si>
  <si>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</si>
  <si>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</si>
  <si>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</si>
  <si>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</si>
  <si>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</si>
  <si>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</si>
  <si>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</si>
  <si>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</si>
  <si>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</si>
  <si>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</si>
  <si>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</si>
  <si>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</si>
  <si>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</si>
  <si>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</si>
  <si>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</si>
  <si>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</si>
  <si>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</si>
  <si>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</si>
  <si>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</si>
  <si>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</si>
  <si>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</si>
  <si>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</si>
  <si>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</si>
  <si>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</si>
  <si>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</si>
  <si>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</si>
  <si>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</si>
  <si>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</si>
  <si>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</si>
  <si>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</si>
  <si>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</si>
  <si>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</si>
  <si>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</si>
  <si>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</si>
  <si>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</si>
  <si>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</si>
  <si>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</si>
  <si>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</si>
  <si>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</si>
  <si>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</si>
  <si>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</si>
  <si>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</si>
  <si>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</si>
  <si>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</si>
  <si>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</si>
  <si>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</si>
  <si>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</si>
  <si>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</si>
  <si>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</si>
  <si>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</si>
  <si>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</si>
  <si>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</si>
  <si>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</si>
  <si>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</si>
  <si>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</si>
  <si>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</si>
  <si>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</si>
  <si>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</si>
  <si>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</si>
  <si>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</si>
  <si>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</si>
  <si>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</si>
  <si>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</si>
  <si>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</si>
  <si>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</si>
  <si>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</si>
  <si>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</si>
  <si>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</si>
  <si>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</si>
  <si>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</si>
  <si>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</si>
  <si>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</si>
  <si>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</si>
  <si>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</si>
  <si>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</si>
  <si>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</si>
  <si>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</si>
  <si>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</si>
  <si>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</si>
  <si>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</si>
  <si>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</si>
  <si>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</si>
  <si>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</si>
  <si>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</si>
  <si>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</si>
  <si>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</si>
  <si>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</si>
  <si>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</si>
  <si>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</si>
  <si>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</si>
  <si>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</si>
  <si>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</si>
  <si>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</si>
  <si>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</si>
  <si>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</si>
  <si>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</si>
  <si>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</si>
  <si>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</si>
  <si>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</si>
  <si>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</si>
  <si>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</si>
  <si>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</si>
  <si>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</si>
  <si>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</si>
  <si>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</si>
  <si>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</si>
  <si>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</si>
  <si>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</si>
  <si>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</si>
  <si>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</si>
  <si>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</si>
  <si>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</si>
  <si>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</si>
  <si>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</si>
  <si>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</si>
  <si>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</si>
  <si>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</si>
  <si>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</si>
  <si>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</si>
  <si>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</si>
  <si>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</si>
  <si>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</si>
  <si>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</si>
  <si>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</si>
  <si>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</si>
  <si>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</si>
  <si>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</si>
  <si>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</si>
  <si>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</si>
  <si>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</si>
  <si>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</si>
  <si>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</si>
  <si>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</si>
  <si>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</si>
  <si>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</si>
  <si>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</si>
  <si>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</si>
  <si>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</si>
  <si>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</si>
  <si>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</si>
  <si>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</si>
  <si>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</si>
  <si>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</si>
  <si>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</si>
  <si>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</si>
  <si>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</si>
  <si>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</si>
  <si>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</si>
  <si>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</si>
  <si>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</si>
  <si>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</si>
  <si>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</si>
  <si>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</si>
  <si>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</si>
  <si>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</si>
  <si>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</si>
  <si>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</si>
  <si>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</si>
  <si>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</si>
  <si>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</si>
  <si>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</si>
  <si>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</si>
  <si>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</si>
  <si>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</si>
  <si>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</si>
  <si>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</si>
  <si>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</si>
  <si>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</si>
  <si>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</si>
  <si>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</si>
  <si>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</si>
  <si>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</si>
  <si>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</si>
  <si>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</si>
  <si>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</si>
  <si>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</si>
  <si>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</si>
  <si>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</si>
  <si>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</si>
  <si>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</si>
  <si>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</si>
  <si>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</si>
  <si>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</si>
  <si>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</si>
  <si>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</si>
  <si>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</si>
  <si>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</si>
  <si>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</si>
  <si>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</si>
  <si>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</si>
  <si>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</si>
  <si>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</si>
  <si>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</si>
  <si>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</si>
  <si>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</si>
  <si>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</si>
  <si>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</si>
  <si>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</si>
  <si>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</si>
  <si>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</si>
  <si>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</si>
  <si>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</si>
  <si>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</si>
  <si>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</si>
  <si>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</si>
  <si>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</si>
  <si>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</si>
  <si>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</si>
  <si>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</si>
  <si>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</si>
  <si>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</si>
  <si>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</si>
  <si>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</si>
  <si>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</si>
  <si>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</si>
  <si>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</si>
  <si>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</si>
  <si>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</si>
  <si>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</si>
  <si>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</si>
  <si>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</si>
  <si>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</si>
  <si>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</si>
  <si>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</si>
  <si>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</si>
  <si>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</si>
  <si>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</si>
  <si>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</si>
  <si>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</si>
  <si>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</si>
  <si>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</si>
  <si>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</si>
  <si>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</si>
  <si>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</si>
  <si>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</si>
  <si>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</si>
  <si>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</si>
  <si>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</si>
  <si>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</si>
  <si>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</si>
  <si>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</si>
  <si>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</si>
  <si>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</si>
  <si>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</si>
  <si>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</si>
  <si>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</si>
  <si>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</si>
  <si>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</si>
  <si>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</si>
  <si>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</si>
  <si>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</si>
  <si>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</si>
  <si>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</si>
  <si>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</si>
  <si>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</si>
  <si>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</si>
  <si>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</si>
  <si>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</si>
  <si>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</si>
  <si>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</si>
  <si>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</si>
  <si>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</si>
  <si>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</si>
  <si>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</si>
  <si>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</si>
  <si>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</si>
  <si>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</si>
  <si>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</si>
  <si>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</si>
  <si>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</si>
  <si>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</si>
  <si>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</si>
  <si>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</si>
  <si>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</si>
  <si>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</si>
  <si>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</si>
  <si>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</si>
  <si>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</si>
  <si>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</si>
  <si>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</si>
  <si>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</si>
  <si>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</si>
  <si>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</si>
  <si>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</si>
  <si>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</si>
  <si>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</si>
  <si>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</si>
  <si>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</si>
  <si>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</si>
  <si>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</si>
  <si>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</si>
  <si>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</si>
  <si>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</si>
  <si>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</si>
  <si>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</si>
  <si>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</si>
  <si>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</si>
  <si>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</si>
  <si>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</si>
  <si>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</si>
  <si>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</si>
  <si>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</si>
  <si>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</si>
  <si>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</si>
  <si>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</si>
  <si>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</si>
  <si>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</si>
  <si>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</si>
  <si>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</si>
  <si>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</si>
  <si>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</si>
  <si>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</si>
  <si>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</si>
  <si>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</si>
  <si>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</si>
  <si>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</si>
  <si>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</si>
  <si>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</si>
  <si>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</si>
  <si>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</si>
  <si>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</si>
  <si>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</si>
  <si>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</si>
  <si>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</si>
  <si>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</si>
  <si>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</si>
  <si>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</si>
  <si>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</si>
  <si>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</si>
  <si>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</si>
  <si>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</si>
  <si>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</si>
  <si>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</si>
  <si>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</si>
  <si>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</si>
  <si>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</si>
  <si>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</si>
  <si>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</si>
  <si>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</si>
  <si>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</si>
  <si>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</si>
  <si>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</si>
  <si>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</si>
  <si>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</si>
  <si>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</si>
  <si>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</si>
  <si>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</si>
  <si>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</si>
  <si>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</si>
  <si>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</si>
  <si>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</si>
  <si>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</si>
  <si>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</si>
  <si>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</si>
  <si>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</si>
  <si>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</si>
  <si>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</si>
  <si>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</si>
  <si>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</si>
  <si>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</si>
  <si>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</si>
  <si>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</si>
  <si>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</si>
  <si>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</si>
  <si>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</si>
  <si>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</si>
  <si>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</si>
  <si>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</si>
  <si>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</si>
  <si>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</si>
  <si>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</si>
  <si>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</si>
  <si>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</si>
  <si>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</si>
  <si>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</si>
  <si>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</si>
  <si>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</si>
  <si>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</si>
  <si>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</si>
  <si>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</si>
  <si>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</si>
  <si>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</si>
  <si>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</si>
  <si>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</si>
  <si>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</si>
  <si>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</si>
  <si>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</si>
  <si>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</si>
  <si>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</si>
  <si>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</si>
  <si>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</si>
  <si>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</si>
  <si>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</si>
  <si>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</si>
  <si>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</si>
  <si>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</si>
  <si>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</si>
  <si>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</si>
  <si>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</si>
  <si>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</si>
  <si>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</si>
  <si>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</si>
  <si>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</si>
  <si>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</si>
  <si>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</si>
  <si>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</si>
  <si>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</si>
  <si>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</si>
  <si>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</si>
  <si>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</si>
  <si>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</si>
  <si>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</si>
  <si>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</si>
  <si>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</si>
  <si>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</si>
  <si>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</si>
  <si>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</si>
  <si>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</si>
  <si>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</si>
  <si>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</si>
  <si>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</si>
  <si>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</si>
  <si>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</si>
  <si>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</si>
  <si>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</si>
  <si>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</si>
  <si>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</si>
  <si>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</si>
  <si>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</si>
  <si>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</si>
  <si>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</si>
  <si>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</si>
  <si>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</si>
  <si>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</si>
  <si>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</si>
  <si>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</si>
  <si>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</si>
  <si>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</si>
  <si>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</si>
  <si>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</si>
  <si>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</si>
  <si>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</si>
  <si>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</si>
  <si>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</si>
  <si>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</si>
  <si>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</si>
  <si>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</si>
  <si>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</si>
  <si>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</si>
  <si>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</si>
  <si>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</si>
  <si>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</si>
  <si>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</si>
  <si>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</si>
  <si>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</si>
  <si>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</si>
  <si>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</si>
  <si>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</si>
  <si>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</si>
  <si>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</si>
  <si>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</si>
  <si>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</si>
  <si>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</si>
  <si>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</si>
  <si>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</si>
  <si>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</si>
  <si>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</si>
  <si>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</si>
  <si>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</si>
  <si>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</si>
  <si>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</si>
  <si>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</si>
  <si>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</si>
  <si>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</si>
  <si>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</si>
  <si>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</si>
  <si>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</si>
  <si>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</si>
  <si>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</si>
  <si>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</si>
  <si>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</si>
  <si>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</si>
  <si>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</si>
  <si>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</si>
  <si>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</si>
  <si>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</si>
  <si>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</si>
  <si>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</si>
  <si>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</si>
  <si>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</si>
  <si>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</si>
  <si>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</si>
  <si>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</si>
  <si>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</si>
  <si>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</si>
  <si>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</si>
  <si>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</si>
  <si>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</si>
  <si>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</si>
  <si>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</si>
  <si>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</si>
  <si>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</si>
  <si>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</si>
  <si>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</si>
  <si>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</si>
  <si>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</si>
  <si>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</si>
  <si>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</si>
  <si>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</si>
  <si>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</si>
  <si>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</si>
  <si>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</si>
  <si>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</si>
  <si>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</si>
  <si>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</si>
  <si>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</si>
  <si>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</si>
  <si>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</si>
  <si>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</si>
  <si>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</si>
  <si>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</si>
  <si>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</si>
  <si>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</si>
  <si>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</si>
  <si>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</si>
  <si>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</si>
  <si>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</si>
  <si>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</si>
  <si>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</si>
  <si>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</si>
  <si>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</si>
  <si>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</si>
  <si>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</si>
  <si>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</si>
  <si>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</si>
  <si>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</si>
  <si>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</si>
  <si>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</si>
  <si>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</si>
  <si>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</si>
  <si>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</si>
  <si>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</si>
  <si>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</si>
  <si>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</si>
  <si>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</si>
  <si>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</si>
  <si>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</si>
  <si>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</si>
  <si>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</si>
  <si>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</si>
  <si>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</si>
  <si>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</si>
  <si>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</si>
  <si>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</si>
  <si>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</si>
  <si>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</si>
  <si>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</si>
  <si>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</si>
  <si>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</si>
  <si>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</si>
  <si>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</si>
  <si>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</si>
  <si>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</si>
  <si>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</si>
  <si>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</si>
  <si>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</si>
  <si>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</si>
  <si>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</si>
  <si>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</si>
  <si>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</si>
  <si>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</si>
  <si>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</si>
  <si>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</si>
  <si>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</si>
  <si>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</si>
  <si>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</si>
  <si>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</si>
  <si>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</si>
  <si>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</si>
  <si>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</si>
  <si>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</si>
  <si>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</si>
  <si>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</si>
  <si>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</si>
  <si>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</si>
  <si>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</si>
  <si>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</si>
  <si>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</si>
  <si>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</si>
  <si>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</si>
  <si>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</si>
  <si>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</si>
  <si>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</si>
  <si>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</si>
  <si>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</si>
  <si>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</si>
  <si>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</si>
  <si>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</si>
  <si>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</si>
  <si>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</si>
  <si>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</si>
  <si>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</si>
  <si>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</si>
  <si>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</si>
  <si>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</si>
  <si>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</si>
  <si>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</si>
  <si>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</si>
  <si>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</si>
  <si>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</si>
  <si>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</si>
  <si>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</si>
  <si>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</si>
  <si>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</si>
  <si>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</si>
  <si>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</si>
  <si>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</si>
  <si>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</si>
  <si>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</si>
  <si>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</si>
  <si>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</si>
  <si>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</si>
  <si>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</si>
  <si>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</si>
  <si>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</si>
  <si>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</si>
  <si>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</si>
  <si>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</si>
  <si>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</si>
  <si>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</si>
  <si>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</si>
  <si>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</si>
  <si>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</si>
  <si>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</si>
  <si>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</si>
  <si>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</si>
  <si>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</si>
  <si>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</si>
  <si>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</si>
  <si>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</si>
  <si>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</si>
  <si>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</si>
  <si>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</si>
  <si>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</si>
  <si>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</si>
  <si>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</si>
  <si>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</si>
  <si>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</si>
  <si>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</si>
  <si>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</si>
  <si>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</si>
  <si>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</si>
  <si>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</si>
  <si>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</si>
  <si>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</si>
  <si>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</si>
  <si>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</si>
  <si>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</si>
  <si>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</si>
  <si>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</si>
  <si>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</si>
  <si>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</si>
  <si>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</si>
  <si>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</si>
  <si>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</si>
  <si>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</si>
  <si>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</si>
  <si>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</si>
  <si>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</si>
  <si>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</si>
  <si>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</si>
  <si>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</si>
  <si>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</si>
  <si>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</si>
  <si>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</si>
  <si>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</si>
  <si>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</si>
  <si>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</si>
  <si>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</si>
  <si>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</si>
  <si>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</si>
  <si>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</si>
  <si>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</si>
  <si>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</si>
  <si>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</si>
  <si>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</si>
  <si>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</si>
  <si>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</si>
  <si>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</si>
  <si>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</si>
  <si>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</si>
  <si>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</si>
  <si>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</si>
  <si>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</si>
  <si>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</si>
  <si>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</si>
  <si>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</si>
  <si>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</si>
  <si>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</si>
  <si>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</si>
  <si>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</si>
  <si>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</si>
  <si>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</si>
  <si>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</si>
  <si>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</si>
  <si>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</si>
  <si>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</si>
  <si>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</si>
  <si>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</si>
  <si>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</si>
  <si>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</si>
  <si>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</si>
  <si>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</si>
  <si>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</si>
  <si>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</si>
  <si>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</si>
  <si>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</si>
  <si>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</si>
  <si>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</si>
  <si>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</si>
  <si>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</si>
  <si>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</si>
  <si>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</si>
  <si>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</si>
  <si>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</si>
  <si>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</si>
  <si>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</si>
  <si>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</si>
  <si>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</si>
  <si>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</si>
  <si>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</si>
  <si>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</si>
  <si>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</si>
  <si>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</si>
  <si>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</si>
  <si>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</si>
  <si>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</si>
  <si>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</si>
  <si>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</si>
  <si>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</si>
  <si>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</si>
  <si>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</si>
  <si>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</si>
  <si>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</si>
  <si>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</si>
  <si>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</si>
  <si>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</si>
  <si>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</si>
  <si>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</si>
  <si>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</si>
  <si>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</si>
  <si>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</si>
  <si>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</si>
  <si>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</si>
  <si>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</si>
  <si>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</si>
  <si>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</si>
  <si>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</si>
  <si>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</si>
  <si>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</si>
  <si>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</si>
  <si>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</si>
  <si>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</si>
  <si>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</si>
  <si>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</si>
  <si>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</si>
  <si>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</si>
  <si>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</si>
  <si>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</si>
  <si>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</si>
  <si>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</si>
  <si>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</si>
  <si>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</si>
  <si>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</si>
  <si>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</si>
  <si>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</si>
  <si>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</si>
  <si>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</si>
  <si>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</si>
  <si>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</si>
  <si>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</si>
  <si>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</si>
  <si>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</si>
  <si>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</si>
  <si>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</si>
  <si>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</si>
  <si>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</si>
  <si>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</si>
  <si>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</si>
  <si>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</si>
  <si>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</si>
  <si>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</si>
  <si>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</si>
  <si>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</si>
  <si>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</si>
  <si>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</si>
  <si>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</si>
  <si>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</si>
  <si>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</si>
  <si>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</si>
  <si>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</si>
  <si>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</si>
  <si>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</si>
  <si>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</si>
  <si>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</si>
  <si>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</si>
  <si>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</si>
  <si>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</si>
  <si>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</si>
  <si>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</si>
  <si>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</si>
  <si>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</si>
  <si>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</si>
  <si>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</si>
  <si>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</si>
  <si>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</si>
  <si>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</si>
  <si>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</si>
  <si>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</si>
  <si>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</si>
  <si>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</si>
  <si>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</si>
  <si>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</si>
  <si>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</si>
  <si>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</si>
  <si>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</si>
  <si>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</si>
  <si>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</si>
  <si>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</si>
  <si>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</si>
  <si>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</si>
  <si>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</si>
  <si>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</si>
  <si>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</si>
  <si>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</si>
  <si>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</si>
  <si>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</si>
  <si>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</si>
  <si>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</si>
  <si>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</si>
  <si>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</si>
  <si>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</si>
  <si>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</si>
  <si>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</si>
  <si>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</si>
  <si>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</si>
  <si>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</si>
  <si>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</si>
  <si>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</si>
  <si>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</si>
  <si>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</si>
  <si>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</si>
  <si>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</si>
  <si>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</si>
  <si>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</si>
  <si>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</si>
  <si>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</si>
  <si>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</si>
  <si>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</si>
  <si>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</si>
  <si>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</si>
  <si>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</si>
  <si>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</si>
  <si>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</si>
  <si>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</si>
  <si>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</si>
  <si>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</si>
  <si>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</si>
  <si>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</si>
  <si>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</si>
  <si>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</si>
  <si>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</si>
  <si>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</si>
  <si>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</si>
  <si>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</si>
  <si>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</si>
  <si>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</si>
  <si>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</si>
  <si>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</si>
  <si>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</si>
  <si>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</si>
  <si>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</si>
  <si>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</si>
  <si>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</si>
  <si>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</si>
  <si>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</si>
  <si>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</si>
  <si>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</si>
  <si>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</si>
  <si>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</si>
  <si>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</si>
  <si>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</si>
  <si>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</si>
  <si>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</si>
  <si>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</si>
  <si>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</si>
  <si>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</si>
  <si>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</si>
  <si>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</si>
  <si>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</si>
  <si>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</si>
  <si>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</si>
  <si>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</si>
  <si>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</si>
  <si>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</si>
  <si>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</si>
  <si>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</si>
  <si>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</si>
  <si>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</si>
  <si>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</si>
  <si>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</si>
  <si>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</si>
  <si>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</si>
  <si>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</si>
  <si>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</si>
  <si>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</si>
  <si>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</si>
  <si>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</si>
  <si>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</si>
  <si>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</si>
  <si>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</si>
  <si>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</si>
  <si>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</si>
  <si>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</si>
  <si>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</si>
  <si>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</si>
  <si>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</si>
  <si>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</si>
  <si>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</si>
  <si>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</si>
  <si>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</si>
  <si>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</si>
  <si>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</si>
  <si>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</si>
  <si>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</si>
  <si>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</si>
  <si>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</si>
  <si>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</si>
  <si>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</si>
  <si>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</si>
  <si>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</si>
  <si>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</si>
  <si>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</si>
  <si>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</si>
  <si>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</si>
  <si>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</si>
  <si>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</si>
  <si>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</si>
  <si>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</si>
  <si>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</si>
  <si>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</si>
  <si>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</si>
  <si>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</si>
  <si>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</si>
  <si>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</si>
  <si>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</si>
  <si>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</si>
  <si>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</si>
  <si>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</si>
  <si>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</si>
  <si>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</si>
  <si>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</si>
  <si>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</si>
  <si>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</si>
  <si>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</si>
  <si>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</si>
  <si>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</si>
  <si>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</si>
  <si>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</si>
  <si>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</si>
  <si>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</si>
  <si>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</si>
  <si>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</si>
  <si>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</si>
  <si>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</si>
  <si>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</si>
  <si>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</si>
  <si>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</si>
  <si>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</si>
  <si>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</si>
  <si>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</si>
  <si>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</si>
  <si>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</si>
  <si>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</si>
  <si>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</si>
  <si>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</si>
  <si>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</si>
  <si>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</si>
  <si>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</si>
  <si>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</si>
  <si>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</si>
  <si>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</si>
  <si>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</si>
  <si>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</si>
  <si>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</si>
  <si>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</si>
  <si>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</si>
  <si>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</si>
  <si>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</si>
  <si>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</si>
  <si>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</si>
  <si>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</si>
  <si>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</si>
  <si>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</si>
  <si>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</si>
  <si>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</si>
  <si>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</si>
  <si>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</si>
  <si>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</si>
  <si>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</si>
  <si>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</si>
  <si>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</si>
  <si>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</si>
  <si>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</si>
  <si>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</si>
  <si>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</si>
  <si>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</si>
  <si>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</si>
  <si>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</si>
  <si>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</si>
  <si>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</si>
  <si>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</si>
  <si>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</si>
  <si>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</si>
  <si>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</si>
  <si>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</si>
  <si>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</si>
  <si>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</si>
  <si>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</si>
  <si>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</si>
  <si>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</si>
  <si>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</si>
  <si>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</si>
  <si>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</si>
  <si>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</si>
  <si>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</si>
  <si>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</si>
  <si>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</si>
  <si>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</si>
  <si>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</si>
  <si>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</si>
  <si>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</si>
  <si>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</si>
  <si>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</si>
  <si>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</si>
  <si>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</si>
  <si>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</si>
  <si>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</si>
  <si>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</si>
  <si>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</si>
  <si>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</si>
  <si>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</si>
  <si>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</si>
  <si>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</si>
  <si>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</si>
  <si>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</si>
  <si>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</si>
  <si>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</si>
  <si>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</si>
  <si>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</si>
  <si>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</si>
  <si>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</si>
  <si>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</si>
  <si>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</si>
  <si>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</si>
  <si>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</si>
  <si>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</si>
  <si>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</si>
  <si>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</si>
  <si>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</si>
  <si>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</si>
  <si>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</si>
  <si>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</si>
  <si>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</si>
  <si>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</si>
  <si>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</si>
  <si>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</si>
  <si>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</si>
  <si>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</si>
  <si>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</si>
  <si>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</si>
  <si>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</si>
  <si>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</si>
  <si>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</si>
  <si>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</si>
  <si>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</si>
  <si>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</si>
  <si>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</si>
  <si>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</si>
  <si>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</si>
  <si>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</si>
  <si>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</si>
  <si>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</si>
  <si>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</si>
  <si>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</si>
  <si>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</si>
  <si>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</si>
  <si>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</si>
  <si>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</si>
  <si>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</si>
  <si>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</si>
  <si>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</si>
  <si>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</si>
  <si>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</si>
  <si>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</si>
  <si>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</si>
  <si>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</si>
  <si>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</si>
  <si>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</si>
  <si>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</si>
  <si>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</si>
  <si>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</si>
  <si>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</si>
  <si>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</si>
  <si>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</si>
  <si>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</si>
  <si>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</si>
  <si>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</si>
  <si>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</si>
  <si>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</si>
  <si>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</si>
  <si>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</si>
  <si>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</si>
  <si>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</si>
  <si>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</si>
  <si>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</si>
  <si>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</si>
  <si>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</si>
  <si>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</si>
  <si>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</si>
  <si>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</si>
  <si>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</si>
  <si>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</si>
  <si>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</si>
  <si>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</si>
  <si>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</si>
  <si>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</si>
  <si>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</si>
  <si>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</si>
  <si>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</si>
  <si>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</si>
  <si>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</si>
  <si>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</si>
  <si>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</si>
  <si>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</si>
  <si>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</si>
  <si>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</si>
  <si>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</si>
  <si>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</si>
  <si>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</si>
  <si>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</si>
  <si>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</si>
  <si>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</si>
  <si>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</si>
  <si>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</si>
  <si>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</si>
  <si>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</si>
  <si>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</si>
  <si>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</si>
  <si>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</si>
  <si>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</si>
  <si>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</si>
  <si>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</si>
  <si>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</si>
  <si>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</si>
  <si>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</si>
  <si>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</si>
  <si>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</si>
  <si>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</si>
  <si>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</si>
  <si>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</si>
  <si>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</si>
  <si>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</si>
  <si>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</si>
  <si>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</si>
  <si>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</si>
  <si>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</si>
  <si>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</si>
  <si>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</si>
  <si>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</si>
  <si>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</si>
  <si>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</si>
  <si>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</si>
  <si>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</si>
  <si>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</si>
  <si>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</si>
  <si>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</si>
  <si>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</si>
  <si>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</si>
  <si>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</si>
  <si>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</si>
  <si>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</si>
  <si>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</si>
  <si>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</si>
  <si>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</si>
  <si>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</si>
  <si>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</si>
  <si>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</si>
  <si>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</si>
  <si>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</si>
  <si>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</si>
  <si>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</si>
  <si>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</si>
  <si>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</si>
  <si>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</si>
  <si>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</si>
  <si>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</si>
  <si>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</si>
  <si>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</si>
  <si>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</si>
  <si>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</si>
  <si>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</si>
  <si>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</si>
  <si>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</si>
  <si>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</si>
  <si>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</si>
  <si>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</si>
  <si>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</si>
  <si>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</si>
  <si>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</si>
  <si>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</si>
  <si>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</si>
  <si>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</si>
  <si>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</si>
  <si>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</si>
  <si>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</si>
  <si>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</si>
  <si>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</si>
  <si>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</si>
  <si>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</si>
  <si>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</si>
  <si>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</si>
  <si>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</si>
  <si>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</si>
  <si>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</si>
  <si>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</si>
  <si>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</si>
  <si>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</si>
  <si>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</si>
  <si>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</si>
  <si>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</si>
  <si>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</si>
  <si>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</si>
  <si>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</si>
  <si>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</si>
  <si>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</si>
  <si>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</si>
  <si>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</si>
  <si>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</si>
  <si>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</si>
  <si>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</si>
  <si>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</si>
  <si>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</si>
  <si>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</si>
  <si>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</si>
  <si>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</si>
  <si>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</si>
  <si>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</si>
  <si>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</si>
  <si>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</si>
  <si>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</si>
  <si>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</si>
  <si>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</si>
  <si>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</si>
  <si>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</si>
  <si>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</si>
  <si>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</si>
  <si>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</si>
  <si>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</si>
  <si>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</si>
  <si>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</si>
  <si>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</si>
  <si>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</si>
  <si>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</si>
  <si>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</si>
  <si>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</si>
  <si>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</si>
  <si>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</si>
  <si>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</si>
  <si>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</si>
  <si>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</si>
  <si>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</si>
  <si>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</si>
  <si>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</si>
  <si>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</si>
  <si>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</si>
  <si>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</si>
  <si>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</si>
  <si>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</si>
  <si>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</si>
  <si>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</si>
  <si>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</si>
  <si>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</si>
  <si>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</si>
  <si>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</si>
  <si>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</si>
  <si>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</si>
  <si>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</si>
  <si>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</si>
  <si>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</si>
  <si>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</si>
  <si>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</si>
  <si>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</si>
  <si>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</si>
  <si>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</si>
  <si>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</si>
  <si>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</si>
  <si>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</si>
  <si>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</si>
  <si>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</si>
  <si>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</si>
  <si>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</si>
  <si>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</si>
  <si>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</si>
  <si>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</si>
  <si>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</si>
  <si>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</si>
  <si>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</si>
  <si>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</si>
  <si>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</si>
  <si>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</si>
  <si>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</si>
  <si>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</si>
  <si>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</si>
  <si>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</si>
  <si>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</si>
  <si>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</si>
  <si>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</si>
  <si>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</si>
  <si>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</si>
  <si>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</si>
  <si>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</si>
  <si>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</si>
  <si>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</si>
  <si>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</si>
  <si>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</si>
  <si>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</si>
  <si>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</si>
  <si>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</si>
  <si>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</si>
  <si>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</si>
  <si>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</si>
  <si>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</si>
  <si>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</si>
  <si>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</si>
  <si>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</si>
  <si>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</si>
  <si>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</si>
  <si>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</si>
  <si>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</si>
  <si>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</si>
  <si>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</si>
  <si>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</si>
  <si>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</si>
  <si>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</si>
  <si>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</si>
  <si>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</si>
  <si>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</si>
  <si>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</si>
  <si>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</si>
  <si>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</si>
  <si>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</si>
  <si>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</si>
  <si>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</si>
  <si>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</si>
  <si>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</si>
  <si>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</si>
  <si>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</si>
  <si>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</si>
  <si>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</si>
  <si>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</si>
  <si>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</si>
  <si>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</si>
  <si>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</si>
  <si>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</si>
  <si>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</si>
  <si>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</si>
  <si>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</si>
  <si>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</si>
  <si>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</si>
  <si>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</si>
  <si>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</si>
  <si>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</si>
  <si>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</si>
  <si>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</si>
  <si>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</si>
  <si>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</si>
  <si>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</si>
  <si>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</si>
  <si>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</si>
  <si>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</si>
  <si>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</si>
  <si>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</si>
  <si>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</si>
  <si>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</si>
  <si>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</si>
  <si>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</si>
  <si>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</si>
  <si>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</si>
  <si>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</si>
  <si>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</si>
  <si>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</si>
  <si>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</si>
  <si>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</si>
  <si>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</si>
  <si>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</si>
  <si>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</si>
  <si>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</si>
  <si>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</si>
  <si>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</si>
  <si>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</si>
  <si>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</si>
  <si>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</si>
  <si>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</si>
  <si>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</si>
  <si>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</si>
  <si>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</si>
  <si>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</si>
  <si>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</si>
  <si>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</si>
  <si>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</si>
  <si>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</si>
  <si>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</si>
  <si>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</si>
  <si>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</si>
  <si>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</si>
  <si>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</si>
  <si>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</si>
  <si>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</si>
  <si>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</si>
  <si>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</si>
  <si>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</si>
  <si>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</si>
  <si>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</si>
  <si>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</si>
  <si>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</si>
  <si>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</si>
  <si>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</si>
  <si>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</si>
  <si>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</si>
  <si>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</si>
  <si>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</si>
  <si>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</si>
  <si>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</si>
  <si>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</si>
  <si>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</si>
  <si>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</si>
  <si>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</si>
  <si>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</si>
  <si>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</si>
  <si>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</si>
  <si>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</si>
  <si>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</si>
  <si>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</si>
  <si>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</si>
  <si>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</si>
  <si>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</si>
  <si>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</si>
  <si>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</si>
  <si>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</si>
  <si>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</si>
  <si>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</si>
  <si>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</si>
  <si>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</si>
  <si>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</si>
  <si>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</si>
  <si>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</si>
  <si>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</si>
  <si>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</si>
  <si>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</si>
  <si>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</si>
  <si>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</si>
  <si>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</si>
  <si>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</si>
  <si>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</si>
  <si>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</si>
  <si>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</si>
  <si>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</si>
  <si>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</si>
  <si>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</si>
  <si>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</si>
  <si>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</si>
  <si>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</si>
  <si>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</si>
  <si>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</si>
  <si>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</si>
  <si>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</si>
  <si>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</si>
  <si>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</si>
  <si>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</si>
  <si>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</si>
  <si>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</si>
  <si>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</si>
  <si>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</si>
  <si>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</si>
  <si>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</si>
  <si>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</si>
  <si>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</si>
  <si>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</si>
  <si>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</si>
  <si>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</si>
  <si>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</si>
  <si>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</si>
  <si>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</si>
  <si>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</si>
  <si>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</si>
  <si>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</si>
  <si>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</si>
  <si>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</si>
  <si>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</si>
  <si>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</si>
  <si>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</si>
  <si>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</si>
  <si>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</si>
  <si>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</si>
  <si>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</si>
  <si>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</si>
  <si>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</si>
  <si>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</si>
  <si>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</si>
  <si>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</si>
  <si>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</si>
  <si>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</si>
  <si>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</si>
  <si>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</si>
  <si>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</si>
  <si>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</si>
  <si>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</si>
  <si>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</si>
  <si>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</si>
  <si>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</si>
  <si>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</si>
  <si>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</si>
  <si>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</si>
  <si>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</si>
  <si>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</si>
  <si>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</si>
  <si>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</si>
  <si>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</si>
  <si>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</si>
  <si>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</si>
  <si>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</si>
  <si>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</si>
  <si>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</si>
  <si>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</si>
  <si>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</si>
  <si>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</si>
  <si>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</si>
  <si>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</si>
  <si>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</si>
  <si>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</si>
  <si>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</si>
  <si>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</si>
  <si>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</si>
  <si>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</si>
  <si>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</si>
  <si>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</si>
  <si>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</si>
  <si>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</si>
  <si>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</si>
  <si>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</si>
  <si>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</si>
  <si>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</si>
  <si>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</si>
  <si>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</si>
  <si>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</si>
  <si>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</si>
  <si>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</si>
  <si>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</si>
  <si>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</si>
  <si>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</si>
  <si>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</si>
  <si>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</si>
  <si>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</si>
  <si>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</si>
  <si>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</si>
  <si>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</si>
  <si>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</si>
  <si>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</si>
  <si>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</si>
  <si>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</si>
  <si>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</si>
  <si>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</si>
  <si>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</si>
  <si>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</si>
  <si>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</si>
  <si>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</si>
  <si>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</si>
  <si>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</si>
  <si>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</si>
  <si>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</si>
  <si>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</si>
  <si>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</si>
  <si>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</si>
  <si>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</si>
  <si>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</si>
  <si>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</si>
  <si>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</si>
  <si>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</si>
  <si>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</si>
  <si>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</si>
  <si>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</si>
  <si>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</si>
  <si>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</si>
  <si>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</si>
  <si>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</si>
  <si>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</si>
  <si>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</si>
  <si>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</si>
  <si>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</si>
  <si>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</si>
  <si>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</si>
  <si>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</si>
  <si>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</si>
  <si>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</si>
  <si>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</si>
  <si>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</si>
  <si>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</si>
  <si>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</si>
  <si>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</si>
  <si>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</si>
  <si>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</si>
  <si>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</si>
  <si>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</si>
  <si>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</si>
  <si>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</si>
  <si>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</si>
  <si>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</si>
  <si>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</si>
  <si>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</si>
  <si>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</si>
  <si>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</si>
  <si>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</si>
  <si>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</si>
  <si>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</si>
  <si>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</si>
  <si>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</si>
  <si>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</si>
  <si>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</si>
  <si>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</si>
  <si>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</si>
  <si>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</si>
  <si>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</si>
  <si>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</si>
  <si>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</si>
  <si>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</si>
  <si>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</si>
  <si>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</si>
  <si>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</si>
  <si>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</si>
  <si>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</si>
  <si>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</si>
  <si>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</si>
  <si>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</si>
  <si>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</si>
  <si>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</si>
  <si>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</si>
  <si>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</si>
  <si>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</si>
  <si>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</si>
  <si>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</si>
  <si>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</si>
  <si>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</si>
  <si>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</si>
  <si>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</si>
  <si>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</si>
  <si>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</si>
  <si>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</si>
  <si>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</si>
  <si>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</si>
  <si>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</si>
  <si>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</si>
  <si>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</si>
  <si>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</si>
  <si>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</si>
  <si>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</si>
  <si>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</si>
  <si>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</si>
  <si>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</si>
  <si>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</si>
  <si>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</si>
  <si>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</si>
  <si>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</si>
  <si>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</si>
  <si>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</si>
  <si>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</si>
  <si>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</si>
  <si>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</si>
  <si>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</si>
  <si>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</si>
  <si>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</si>
  <si>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</si>
  <si>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</si>
  <si>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</si>
  <si>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</si>
  <si>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</si>
  <si>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</si>
  <si>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</si>
  <si>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</si>
  <si>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</si>
  <si>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</si>
  <si>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</si>
  <si>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</si>
  <si>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</si>
  <si>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</si>
  <si>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</si>
  <si>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</si>
  <si>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</si>
  <si>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</si>
  <si>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</si>
  <si>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</si>
  <si>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</si>
  <si>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</si>
  <si>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</si>
  <si>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</si>
  <si>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</si>
  <si>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</si>
  <si>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</si>
  <si>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</si>
  <si>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</si>
  <si>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</si>
  <si>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</si>
  <si>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</si>
  <si>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</si>
  <si>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</si>
  <si>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</si>
  <si>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</si>
  <si>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</si>
  <si>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</si>
  <si>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</si>
  <si>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</si>
  <si>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</si>
  <si>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</si>
  <si>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</si>
  <si>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</si>
  <si>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</si>
  <si>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</si>
  <si>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</si>
  <si>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</si>
  <si>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</si>
  <si>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</si>
  <si>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</si>
  <si>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</si>
  <si>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</si>
  <si>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</si>
  <si>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</si>
  <si>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</si>
  <si>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</si>
  <si>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</si>
  <si>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</si>
  <si>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</si>
  <si>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</si>
  <si>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</si>
  <si>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</si>
  <si>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</si>
  <si>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</si>
  <si>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</si>
  <si>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</si>
  <si>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</si>
  <si>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</si>
  <si>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</si>
  <si>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</si>
  <si>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</si>
  <si>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</si>
  <si>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</si>
  <si>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</si>
  <si>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</si>
  <si>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</si>
  <si>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</si>
  <si>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</si>
  <si>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</si>
  <si>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</si>
  <si>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</si>
  <si>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</si>
  <si>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</si>
  <si>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</si>
  <si>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</si>
  <si>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</si>
  <si>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</si>
  <si>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</si>
  <si>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</si>
  <si>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</si>
  <si>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</si>
  <si>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</si>
  <si>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</si>
  <si>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</si>
  <si>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</si>
  <si>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</si>
  <si>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</si>
  <si>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</si>
  <si>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</si>
  <si>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</si>
  <si>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</si>
  <si>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</si>
  <si>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</si>
  <si>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</si>
  <si>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</si>
  <si>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</si>
  <si>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</si>
  <si>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</si>
  <si>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</si>
  <si>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</si>
  <si>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</si>
  <si>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</si>
  <si>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</si>
  <si>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</si>
  <si>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</si>
  <si>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</si>
  <si>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</si>
  <si>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</si>
  <si>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</si>
  <si>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</si>
  <si>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</si>
  <si>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</si>
  <si>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</si>
  <si>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</si>
  <si>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</si>
  <si>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</si>
  <si>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</si>
  <si>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</si>
  <si>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</si>
  <si>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</si>
  <si>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</si>
  <si>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</si>
  <si>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</si>
  <si>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</si>
  <si>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</si>
  <si>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</si>
  <si>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</si>
  <si>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</si>
  <si>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</si>
  <si>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</si>
  <si>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</si>
  <si>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</si>
  <si>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</si>
  <si>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</si>
  <si>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</si>
  <si>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</si>
  <si>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</si>
  <si>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</si>
  <si>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</si>
  <si>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</si>
  <si>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</si>
  <si>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</si>
  <si>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</si>
  <si>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</si>
  <si>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</si>
  <si>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</si>
  <si>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</si>
  <si>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</si>
  <si>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</si>
  <si>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</si>
  <si>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</si>
  <si>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</si>
  <si>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</si>
  <si>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</si>
  <si>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</si>
  <si>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</si>
  <si>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</si>
  <si>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</si>
  <si>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</si>
  <si>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</si>
  <si>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</si>
  <si>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</si>
  <si>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</si>
  <si>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</si>
  <si>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</si>
  <si>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</si>
  <si>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</si>
  <si>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</si>
  <si>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</si>
  <si>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</si>
  <si>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</si>
  <si>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</si>
  <si>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</si>
  <si>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</si>
  <si>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</si>
  <si>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</si>
  <si>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</si>
  <si>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</si>
  <si>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</si>
  <si>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</si>
  <si>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</si>
  <si>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</si>
  <si>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</si>
  <si>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</si>
  <si>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</si>
  <si>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</si>
  <si>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</si>
  <si>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</si>
  <si>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</si>
  <si>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</si>
  <si>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</si>
  <si>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</si>
  <si>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</si>
  <si>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</si>
  <si>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</si>
  <si>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</si>
  <si>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</si>
  <si>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</si>
  <si>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</si>
  <si>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</si>
  <si>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</si>
  <si>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</si>
  <si>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</si>
  <si>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</si>
  <si>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</si>
  <si>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</si>
  <si>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</si>
  <si>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</si>
  <si>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</si>
  <si>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</si>
  <si>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</si>
  <si>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</si>
  <si>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</si>
  <si>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</si>
  <si>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</si>
  <si>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</si>
  <si>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</si>
  <si>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</si>
  <si>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</si>
  <si>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</si>
  <si>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</si>
  <si>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</si>
  <si>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</si>
  <si>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</si>
  <si>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</si>
  <si>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</si>
  <si>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</si>
  <si>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</si>
  <si>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</si>
  <si>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</si>
  <si>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</si>
  <si>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</si>
  <si>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</si>
  <si>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</si>
  <si>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</si>
  <si>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</si>
  <si>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</si>
  <si>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</si>
  <si>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</si>
  <si>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</si>
  <si>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</si>
  <si>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</si>
  <si>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</si>
  <si>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</si>
  <si>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</si>
  <si>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</si>
  <si>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</si>
  <si>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</si>
  <si>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</si>
  <si>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</si>
  <si>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</si>
  <si>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</si>
  <si>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</si>
  <si>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</si>
  <si>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</si>
  <si>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</si>
  <si>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</si>
  <si>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</si>
  <si>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</si>
  <si>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</si>
  <si>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</si>
  <si>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</si>
  <si>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</si>
  <si>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</si>
  <si>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</si>
  <si>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</si>
  <si>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</si>
  <si>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</si>
  <si>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</si>
  <si>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</si>
  <si>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</si>
  <si>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</si>
  <si>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</si>
  <si>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</si>
  <si>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</si>
  <si>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</si>
  <si>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</si>
  <si>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</si>
  <si>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</si>
  <si>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</si>
  <si>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</si>
  <si>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</si>
  <si>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</si>
  <si>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</si>
  <si>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</si>
  <si>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</si>
  <si>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</si>
  <si>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</si>
  <si>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</si>
  <si>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</si>
  <si>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</si>
  <si>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</si>
  <si>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</si>
  <si>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</si>
  <si>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</si>
  <si>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</si>
  <si>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</si>
  <si>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</si>
  <si>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</si>
  <si>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</si>
  <si>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</si>
  <si>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</si>
  <si>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</si>
  <si>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</si>
  <si>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</si>
  <si>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</si>
  <si>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</si>
  <si>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</si>
  <si>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</si>
  <si>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</si>
  <si>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</si>
  <si>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</si>
  <si>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</si>
  <si>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</si>
  <si>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</si>
  <si>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</si>
  <si>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</si>
  <si>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</si>
  <si>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</si>
  <si>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</si>
  <si>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</si>
  <si>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</si>
  <si>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</si>
  <si>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</si>
  <si>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</si>
  <si>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</si>
  <si>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</si>
  <si>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</si>
  <si>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</si>
  <si>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</si>
  <si>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</si>
  <si>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</si>
  <si>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</si>
  <si>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</si>
  <si>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</si>
  <si>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</si>
  <si>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</si>
  <si>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</si>
  <si>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</si>
  <si>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</si>
  <si>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</si>
  <si>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</si>
  <si>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</si>
  <si>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</si>
  <si>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</si>
  <si>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</si>
  <si>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</si>
  <si>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</si>
  <si>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</si>
  <si>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</si>
  <si>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</si>
  <si>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</si>
  <si>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</si>
  <si>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</si>
  <si>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</si>
  <si>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</si>
  <si>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</si>
  <si>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</si>
  <si>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</si>
  <si>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</si>
  <si>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</si>
  <si>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</si>
  <si>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</si>
  <si>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</si>
  <si>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</si>
  <si>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</si>
  <si>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</si>
  <si>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</si>
  <si>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</si>
  <si>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</si>
  <si>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</si>
  <si>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</si>
  <si>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</si>
  <si>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</si>
  <si>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</si>
  <si>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</si>
  <si>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</si>
  <si>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</si>
  <si>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</si>
  <si>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</si>
  <si>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</si>
  <si>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</si>
  <si>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</si>
  <si>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</si>
  <si>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</si>
  <si>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</si>
  <si>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</si>
  <si>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</si>
  <si>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</si>
  <si>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</si>
  <si>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</si>
  <si>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</si>
  <si>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</si>
  <si>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</si>
  <si>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</si>
  <si>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</si>
  <si>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</si>
  <si>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</si>
  <si>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</si>
  <si>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</si>
  <si>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</si>
  <si>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</si>
  <si>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</si>
  <si>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</si>
  <si>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</si>
  <si>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</si>
  <si>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</si>
  <si>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</si>
  <si>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</si>
  <si>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</si>
  <si>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</si>
  <si>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</si>
  <si>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</si>
  <si>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</si>
  <si>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</si>
  <si>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</si>
  <si>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</si>
  <si>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</si>
  <si>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</si>
  <si>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</si>
  <si>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</si>
  <si>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</si>
  <si>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</si>
  <si>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</si>
  <si>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</si>
  <si>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</si>
  <si>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</si>
  <si>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</si>
  <si>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</si>
  <si>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</si>
  <si>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</si>
  <si>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</si>
  <si>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</si>
  <si>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</si>
  <si>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</si>
  <si>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</si>
  <si>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</si>
  <si>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</si>
  <si>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</si>
  <si>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</si>
  <si>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</si>
  <si>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</si>
  <si>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</si>
  <si>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</si>
  <si>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</si>
  <si>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</si>
  <si>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</si>
  <si>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</si>
  <si>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</si>
  <si>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</si>
  <si>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</si>
  <si>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</si>
  <si>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</si>
  <si>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</si>
  <si>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</si>
  <si>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</si>
  <si>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</si>
  <si>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</si>
  <si>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</si>
  <si>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</si>
  <si>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</si>
  <si>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</si>
  <si>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</si>
  <si>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</si>
  <si>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</si>
  <si>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</si>
  <si>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</si>
  <si>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</si>
  <si>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</si>
  <si>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</si>
  <si>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</si>
  <si>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</si>
  <si>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</si>
  <si>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</si>
  <si>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</si>
  <si>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</si>
  <si>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</si>
  <si>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</si>
  <si>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</si>
  <si>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</si>
  <si>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</si>
  <si>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</si>
  <si>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</si>
  <si>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</si>
  <si>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</si>
  <si>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</si>
  <si>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</si>
  <si>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</si>
  <si>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</si>
  <si>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</si>
  <si>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</si>
  <si>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</si>
  <si>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</si>
  <si>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</si>
  <si>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</si>
  <si>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</si>
  <si>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</si>
  <si>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</si>
  <si>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</si>
  <si>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</si>
  <si>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</si>
  <si>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</si>
  <si>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</si>
  <si>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</si>
  <si>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</si>
  <si>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</si>
  <si>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</si>
  <si>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</si>
  <si>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</si>
  <si>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</si>
  <si>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</si>
  <si>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</si>
  <si>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</si>
  <si>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</si>
  <si>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</si>
  <si>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</si>
  <si>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</si>
  <si>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</si>
  <si>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</si>
  <si>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</si>
  <si>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</si>
  <si>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</si>
  <si>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</si>
  <si>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</si>
  <si>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</si>
  <si>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</si>
  <si>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</si>
  <si>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</si>
  <si>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</si>
  <si>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</si>
  <si>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</si>
  <si>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</si>
  <si>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</si>
  <si>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</si>
  <si>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</si>
  <si>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</si>
  <si>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</si>
  <si>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</si>
  <si>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</si>
  <si>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</si>
  <si>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</si>
  <si>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</si>
  <si>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</si>
  <si>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</si>
  <si>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</si>
  <si>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</si>
  <si>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</si>
  <si>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</si>
  <si>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</si>
  <si>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</si>
  <si>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</si>
  <si>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</si>
  <si>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</si>
  <si>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</si>
  <si>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</si>
  <si>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</si>
  <si>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</si>
  <si>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</si>
  <si>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</si>
  <si>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</si>
  <si>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</si>
  <si>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</si>
  <si>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</si>
  <si>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</si>
  <si>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</si>
  <si>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</si>
  <si>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</si>
  <si>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</si>
  <si>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</si>
  <si>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</si>
  <si>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</si>
  <si>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</si>
  <si>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</si>
  <si>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</si>
  <si>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</si>
  <si>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</si>
  <si>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</si>
  <si>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</si>
  <si>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</si>
  <si>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</si>
  <si>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</si>
  <si>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</si>
  <si>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</si>
  <si>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</si>
  <si>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</si>
  <si>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</si>
  <si>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</si>
  <si>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</si>
  <si>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</si>
  <si>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</si>
  <si>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</si>
  <si>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</si>
  <si>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</si>
  <si>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</si>
  <si>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</si>
  <si>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</si>
  <si>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</si>
  <si>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</si>
  <si>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</si>
  <si>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</si>
  <si>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</si>
  <si>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</si>
  <si>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</si>
  <si>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</si>
  <si>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</si>
  <si>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</si>
  <si>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</si>
  <si>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</si>
  <si>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</si>
  <si>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</si>
  <si>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</si>
  <si>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</si>
  <si>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</si>
  <si>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</si>
  <si>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</si>
  <si>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</si>
  <si>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</si>
  <si>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</si>
  <si>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</si>
  <si>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</si>
  <si>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</si>
  <si>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</si>
  <si>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</si>
  <si>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</si>
  <si>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</si>
  <si>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</si>
  <si>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</si>
  <si>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</si>
  <si>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</si>
  <si>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</si>
  <si>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</si>
  <si>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</si>
  <si>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</si>
  <si>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</si>
  <si>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</si>
  <si>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</si>
  <si>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</si>
  <si>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</si>
  <si>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</si>
  <si>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</si>
  <si>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</si>
  <si>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</si>
  <si>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</si>
  <si>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</si>
  <si>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</si>
  <si>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</si>
  <si>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</si>
  <si>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</si>
  <si>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</si>
  <si>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</si>
  <si>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</si>
  <si>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</si>
  <si>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</si>
  <si>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</si>
  <si>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</si>
  <si>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</si>
  <si>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</si>
  <si>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</si>
  <si>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</si>
  <si>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</si>
  <si>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</si>
  <si>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</si>
  <si>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</si>
  <si>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</si>
  <si>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</si>
  <si>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</si>
  <si>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</si>
  <si>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</si>
  <si>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</si>
  <si>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</si>
  <si>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</si>
  <si>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</si>
  <si>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</si>
  <si>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</si>
  <si>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</si>
  <si>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</si>
  <si>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</si>
  <si>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</si>
  <si>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</si>
  <si>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</si>
  <si>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</si>
  <si>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</si>
  <si>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</si>
  <si>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</si>
  <si>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</si>
  <si>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</si>
  <si>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</si>
  <si>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</si>
  <si>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</si>
  <si>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</si>
  <si>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</si>
  <si>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</si>
  <si>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</si>
  <si>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</si>
  <si>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</si>
  <si>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</si>
  <si>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</si>
  <si>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</si>
  <si>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</si>
  <si>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</si>
  <si>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</si>
  <si>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</si>
  <si>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</si>
  <si>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</si>
  <si>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</si>
  <si>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</si>
  <si>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</si>
  <si>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</si>
  <si>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</si>
  <si>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</si>
  <si>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</si>
  <si>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</si>
  <si>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</si>
  <si>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</si>
  <si>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</si>
  <si>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</si>
  <si>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</si>
  <si>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</si>
  <si>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</si>
  <si>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</si>
  <si>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</si>
  <si>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</si>
  <si>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</si>
  <si>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</si>
  <si>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</si>
  <si>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</si>
  <si>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</si>
  <si>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</si>
  <si>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</si>
  <si>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</si>
  <si>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</si>
  <si>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</si>
  <si>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</si>
  <si>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</si>
  <si>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</si>
  <si>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</si>
  <si>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</si>
  <si>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</si>
  <si>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</si>
  <si>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</si>
  <si>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</si>
  <si>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</si>
  <si>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</si>
  <si>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</si>
  <si>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</si>
  <si>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</si>
  <si>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</si>
  <si>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</si>
  <si>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</si>
  <si>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</si>
  <si>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</si>
  <si>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</si>
  <si>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</si>
  <si>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</si>
  <si>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</si>
  <si>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</si>
  <si>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</si>
  <si>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</si>
  <si>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</si>
  <si>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</si>
  <si>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</si>
  <si>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</si>
  <si>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</si>
  <si>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</si>
  <si>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</si>
  <si>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</si>
  <si>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</si>
  <si>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</si>
  <si>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</si>
  <si>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</si>
  <si>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</si>
  <si>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</si>
  <si>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</si>
  <si>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</si>
  <si>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</si>
  <si>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</si>
  <si>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</si>
  <si>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</si>
  <si>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</si>
  <si>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</si>
  <si>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</si>
  <si>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</si>
  <si>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</si>
  <si>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</si>
  <si>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</si>
  <si>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</si>
  <si>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</si>
  <si>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</si>
  <si>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</si>
  <si>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</si>
  <si>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</si>
  <si>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</si>
  <si>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</si>
  <si>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</si>
  <si>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</si>
  <si>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</si>
  <si>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</si>
  <si>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</si>
  <si>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</si>
  <si>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</si>
  <si>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</si>
  <si>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</si>
  <si>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</si>
  <si>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</si>
  <si>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</si>
  <si>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</si>
  <si>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</si>
  <si>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</si>
  <si>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</si>
  <si>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</si>
  <si>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</si>
  <si>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</si>
  <si>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</si>
  <si>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</si>
  <si>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</si>
  <si>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</si>
  <si>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</si>
  <si>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</si>
  <si>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</si>
  <si>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</si>
  <si>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</si>
  <si>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</si>
  <si>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</si>
  <si>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</si>
  <si>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</si>
  <si>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</si>
  <si>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</si>
  <si>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</si>
  <si>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</si>
  <si>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</si>
  <si>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</si>
  <si>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</si>
  <si>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</si>
  <si>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</si>
  <si>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</si>
  <si>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</si>
  <si>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</si>
  <si>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</si>
  <si>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</si>
  <si>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</si>
  <si>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</si>
  <si>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</si>
  <si>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</si>
  <si>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</si>
  <si>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</si>
  <si>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</si>
  <si>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</si>
  <si>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</si>
  <si>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</si>
  <si>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</si>
  <si>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</si>
  <si>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</si>
  <si>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</si>
  <si>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</si>
  <si>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</si>
  <si>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</si>
  <si>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</si>
  <si>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</si>
  <si>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</si>
  <si>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</si>
  <si>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</si>
  <si>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</si>
  <si>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</si>
  <si>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</si>
  <si>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</si>
  <si>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</si>
  <si>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</si>
  <si>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</si>
  <si>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</si>
  <si>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</si>
  <si>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</si>
  <si>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</si>
  <si>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</si>
  <si>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</si>
  <si>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</si>
  <si>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</si>
  <si>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</si>
  <si>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</si>
  <si>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</si>
  <si>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</si>
  <si>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</si>
  <si>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</si>
  <si>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</si>
  <si>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</si>
  <si>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</si>
  <si>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</si>
  <si>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</si>
  <si>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</si>
  <si>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</si>
  <si>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</si>
  <si>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</si>
  <si>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</si>
  <si>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</si>
  <si>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</si>
  <si>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</si>
  <si>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</si>
  <si>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</si>
  <si>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</si>
  <si>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</si>
  <si>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</si>
  <si>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</si>
  <si>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</si>
  <si>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</si>
  <si>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</si>
  <si>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</si>
  <si>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</si>
  <si>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</si>
  <si>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</si>
  <si>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</si>
  <si>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</si>
  <si>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</si>
  <si>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</si>
  <si>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</si>
  <si>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</si>
  <si>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</si>
  <si>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</si>
  <si>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</si>
  <si>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</si>
  <si>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</si>
  <si>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</si>
  <si>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</si>
  <si>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</si>
  <si>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</si>
  <si>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</si>
  <si>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</si>
  <si>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</si>
  <si>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</si>
  <si>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</si>
  <si>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</si>
  <si>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</si>
  <si>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</si>
  <si>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</si>
  <si>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</si>
  <si>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</si>
  <si>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</si>
  <si>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</si>
  <si>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</si>
  <si>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</si>
  <si>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</si>
  <si>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</si>
  <si>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</si>
  <si>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</si>
  <si>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</si>
  <si>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</si>
  <si>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</si>
  <si>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</si>
  <si>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</si>
  <si>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</si>
  <si>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</si>
  <si>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</si>
  <si>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</si>
  <si>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</si>
  <si>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</si>
  <si>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</si>
  <si>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</si>
  <si>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</si>
  <si>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</si>
  <si>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</si>
  <si>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</si>
  <si>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</si>
  <si>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</si>
  <si>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</si>
  <si>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</si>
  <si>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</si>
  <si>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</si>
  <si>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</si>
  <si>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</si>
  <si>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</si>
  <si>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</si>
  <si>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</si>
  <si>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</si>
  <si>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</si>
  <si>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</si>
  <si>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</si>
  <si>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</si>
  <si>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</si>
  <si>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</si>
  <si>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</si>
  <si>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</si>
  <si>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</si>
  <si>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</si>
  <si>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</si>
  <si>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</si>
  <si>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</si>
  <si>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</si>
  <si>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</si>
  <si>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</si>
  <si>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</si>
  <si>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</si>
  <si>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</si>
  <si>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</si>
  <si>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</si>
  <si>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</si>
  <si>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</si>
  <si>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</si>
  <si>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</si>
  <si>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</si>
  <si>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</si>
  <si>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</si>
  <si>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</si>
  <si>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</si>
  <si>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</si>
  <si>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</si>
  <si>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</si>
  <si>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</si>
  <si>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</si>
  <si>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</si>
  <si>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</si>
  <si>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</si>
  <si>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</si>
  <si>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</si>
  <si>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</si>
  <si>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</si>
  <si>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</si>
  <si>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</si>
  <si>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</si>
  <si>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</si>
  <si>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</si>
  <si>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</si>
  <si>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</si>
  <si>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</si>
  <si>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</si>
  <si>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</si>
  <si>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</si>
  <si>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</si>
  <si>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</si>
  <si>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</si>
  <si>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</si>
  <si>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</si>
  <si>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</si>
  <si>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</si>
  <si>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</si>
  <si>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</si>
  <si>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</si>
  <si>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</si>
  <si>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</si>
  <si>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</si>
  <si>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</si>
  <si>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</si>
  <si>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</si>
  <si>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</si>
  <si>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</si>
  <si>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</si>
  <si>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</si>
  <si>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</si>
  <si>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</si>
  <si>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</si>
  <si>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</si>
  <si>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</si>
  <si>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</si>
  <si>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</si>
  <si>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</si>
  <si>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</si>
  <si>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</si>
  <si>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</si>
  <si>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</si>
  <si>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</si>
  <si>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</si>
  <si>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</si>
  <si>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</si>
  <si>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</si>
  <si>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</si>
  <si>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</si>
  <si>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</si>
  <si>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</si>
  <si>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</si>
  <si>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</si>
  <si>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</si>
  <si>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</si>
  <si>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</si>
  <si>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</si>
  <si>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</si>
  <si>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</si>
  <si>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</si>
  <si>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</si>
  <si>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</si>
  <si>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</si>
  <si>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</si>
  <si>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</si>
  <si>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</si>
  <si>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</si>
  <si>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</si>
  <si>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</si>
  <si>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</si>
  <si>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</si>
  <si>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</si>
  <si>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</si>
  <si>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</si>
  <si>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</si>
  <si>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</si>
  <si>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</si>
  <si>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</si>
  <si>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</si>
  <si>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</si>
  <si>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</si>
  <si>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</si>
  <si>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</si>
  <si>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</si>
  <si>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</si>
  <si>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</si>
  <si>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</si>
  <si>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</si>
  <si>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</si>
  <si>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</si>
  <si>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</si>
  <si>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</si>
  <si>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</si>
  <si>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</si>
  <si>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</si>
  <si>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</si>
  <si>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</si>
  <si>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</si>
  <si>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</si>
  <si>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</si>
  <si>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</si>
  <si>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</si>
  <si>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</si>
  <si>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</si>
  <si>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</si>
  <si>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</si>
  <si>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</si>
  <si>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</si>
  <si>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</si>
  <si>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</si>
  <si>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</si>
  <si>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</si>
  <si>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</si>
  <si>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</si>
  <si>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</si>
  <si>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</si>
  <si>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</si>
  <si>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</si>
  <si>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</si>
  <si>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</si>
  <si>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</si>
  <si>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</si>
  <si>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</si>
  <si>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</si>
  <si>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</si>
  <si>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</si>
  <si>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</si>
  <si>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</si>
  <si>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</si>
  <si>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</si>
  <si>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</si>
  <si>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</si>
  <si>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</si>
  <si>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</si>
  <si>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</si>
  <si>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</si>
  <si>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</si>
  <si>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</si>
  <si>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</si>
  <si>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</si>
  <si>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</si>
  <si>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</si>
  <si>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</si>
  <si>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</si>
  <si>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</si>
  <si>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</si>
  <si>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</si>
  <si>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</si>
  <si>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</si>
  <si>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</si>
  <si>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</si>
  <si>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</si>
  <si>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</si>
  <si>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</si>
  <si>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</si>
  <si>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</si>
  <si>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</si>
  <si>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</si>
  <si>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</si>
  <si>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</si>
  <si>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</si>
  <si>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</si>
  <si>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</si>
  <si>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</si>
  <si>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</si>
  <si>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</si>
  <si>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</si>
  <si>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</si>
  <si>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</si>
  <si>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</si>
  <si>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</si>
  <si>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</si>
  <si>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</si>
  <si>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</si>
  <si>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</si>
  <si>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</si>
  <si>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</si>
  <si>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</si>
  <si>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</si>
  <si>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</si>
  <si>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</si>
  <si>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</si>
  <si>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</si>
  <si>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</si>
  <si>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</si>
  <si>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</si>
  <si>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</si>
  <si>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</si>
  <si>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</si>
  <si>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</si>
  <si>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</si>
  <si>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</si>
  <si>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</si>
  <si>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</si>
  <si>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</si>
  <si>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</si>
  <si>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</si>
  <si>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</si>
  <si>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</si>
  <si>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</si>
  <si>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</si>
  <si>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</si>
  <si>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</si>
  <si>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</si>
  <si>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</si>
  <si>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</si>
  <si>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</si>
  <si>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</si>
  <si>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</si>
  <si>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</si>
  <si>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</si>
  <si>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</si>
  <si>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</si>
  <si>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</si>
  <si>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</si>
  <si>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</si>
  <si>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</si>
  <si>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</si>
  <si>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</si>
  <si>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</si>
  <si>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</si>
  <si>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</si>
  <si>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</si>
  <si>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</si>
  <si>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</si>
  <si>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</si>
  <si>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</si>
  <si>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</si>
  <si>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</si>
  <si>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</si>
  <si>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</si>
  <si>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</si>
  <si>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</si>
  <si>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</si>
  <si>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</si>
  <si>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</si>
  <si>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</si>
  <si>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</si>
  <si>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</si>
  <si>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</si>
  <si>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</si>
  <si>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</si>
  <si>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</si>
  <si>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</si>
  <si>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</si>
  <si>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</si>
  <si>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</si>
  <si>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</si>
  <si>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</si>
  <si>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</si>
  <si>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</si>
  <si>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</si>
  <si>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</si>
  <si>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</si>
  <si>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</si>
  <si>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</si>
  <si>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</si>
  <si>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</si>
  <si>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</si>
  <si>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</si>
  <si>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</si>
  <si>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</si>
  <si>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</si>
  <si>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</si>
  <si>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</si>
  <si>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</si>
  <si>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</si>
  <si>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</si>
  <si>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</si>
  <si>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</si>
  <si>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</si>
  <si>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</si>
  <si>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</si>
  <si>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</si>
  <si>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</si>
  <si>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</si>
  <si>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</si>
  <si>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</si>
  <si>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</si>
  <si>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</si>
  <si>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</si>
  <si>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</si>
  <si>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</si>
  <si>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</si>
  <si>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</si>
  <si>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</si>
  <si>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</si>
  <si>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</si>
  <si>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</si>
  <si>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</si>
  <si>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</si>
  <si>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</si>
  <si>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</si>
  <si>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</si>
  <si>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</si>
  <si>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</si>
  <si>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</si>
  <si>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</si>
  <si>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</si>
  <si>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</si>
  <si>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</si>
  <si>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</si>
  <si>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</si>
  <si>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</si>
  <si>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</si>
  <si>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</si>
  <si>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</si>
  <si>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</si>
  <si>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</si>
  <si>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</si>
  <si>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</si>
  <si>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</si>
  <si>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</si>
  <si>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</si>
  <si>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</si>
  <si>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</si>
  <si>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</si>
  <si>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</si>
  <si>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</si>
  <si>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</si>
  <si>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</si>
  <si>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</si>
  <si>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</si>
  <si>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</si>
  <si>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</si>
  <si>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</si>
  <si>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</si>
  <si>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</si>
  <si>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</si>
  <si>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</si>
  <si>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</si>
  <si>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</si>
  <si>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</si>
  <si>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</si>
  <si>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</si>
  <si>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</si>
  <si>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</si>
  <si>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</si>
  <si>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</si>
  <si>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</si>
  <si>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</si>
  <si>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</si>
  <si>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</si>
  <si>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</si>
  <si>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</si>
  <si>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</si>
  <si>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</si>
  <si>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</si>
  <si>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</si>
  <si>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</si>
  <si>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</si>
  <si>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</si>
  <si>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</si>
  <si>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</si>
  <si>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</si>
  <si>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</si>
  <si>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</si>
  <si>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</si>
  <si>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</si>
  <si>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</si>
  <si>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</si>
  <si>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</si>
  <si>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</si>
  <si>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</si>
  <si>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</si>
  <si>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</si>
  <si>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</si>
  <si>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</si>
  <si>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</si>
  <si>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</si>
  <si>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</si>
  <si>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</si>
  <si>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</si>
  <si>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</si>
  <si>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</si>
  <si>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</si>
  <si>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</si>
  <si>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</si>
  <si>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</si>
  <si>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</si>
  <si>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</si>
  <si>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</si>
  <si>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</si>
  <si>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</si>
  <si>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</si>
  <si>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</si>
  <si>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</si>
  <si>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</si>
  <si>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</si>
  <si>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</si>
  <si>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</si>
  <si>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</si>
  <si>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</si>
  <si>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</si>
  <si>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</si>
  <si>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</si>
  <si>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</si>
  <si>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</si>
  <si>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</si>
  <si>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</si>
  <si>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</si>
  <si>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</si>
  <si>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</si>
  <si>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</si>
  <si>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</si>
  <si>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</si>
  <si>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</si>
  <si>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</si>
  <si>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</si>
  <si>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</si>
  <si>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</si>
  <si>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</si>
  <si>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</si>
  <si>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</si>
  <si>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</si>
  <si>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</si>
  <si>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</si>
  <si>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</si>
  <si>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</si>
  <si>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</si>
  <si>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</si>
  <si>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</si>
  <si>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</si>
  <si>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</si>
  <si>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</si>
  <si>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</si>
  <si>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</si>
  <si>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</si>
  <si>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</si>
  <si>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</si>
  <si>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</si>
  <si>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</si>
  <si>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</si>
  <si>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</si>
  <si>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</si>
  <si>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</si>
  <si>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</si>
  <si>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</si>
  <si>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</si>
  <si>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</si>
  <si>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</si>
  <si>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</si>
  <si>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</si>
  <si>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</si>
  <si>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</si>
  <si>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</si>
  <si>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</si>
  <si>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</si>
  <si>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</si>
  <si>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</si>
  <si>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</si>
  <si>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</si>
  <si>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</si>
  <si>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</si>
  <si>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</si>
  <si>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</si>
  <si>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</si>
  <si>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</si>
  <si>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</si>
  <si>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</si>
  <si>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</si>
  <si>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</si>
  <si>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</si>
  <si>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</si>
  <si>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</si>
  <si>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</si>
  <si>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</si>
  <si>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</si>
  <si>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</si>
  <si>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</si>
  <si>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</si>
  <si>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</si>
  <si>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</si>
  <si>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</si>
  <si>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</si>
  <si>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</si>
  <si>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</si>
  <si>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</si>
  <si>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</si>
  <si>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</si>
  <si>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</si>
  <si>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</si>
  <si>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</si>
  <si>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</si>
  <si>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</si>
  <si>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</si>
  <si>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</si>
  <si>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</si>
  <si>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</si>
  <si>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</si>
  <si>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</si>
  <si>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</si>
  <si>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</si>
  <si>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</si>
  <si>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</si>
  <si>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</si>
  <si>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</si>
  <si>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</si>
  <si>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</si>
  <si>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</si>
  <si>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</si>
  <si>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</si>
  <si>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</si>
  <si>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</si>
  <si>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</si>
  <si>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</si>
  <si>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</si>
  <si>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</si>
  <si>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</si>
  <si>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</si>
  <si>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</si>
  <si>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</si>
  <si>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</si>
  <si>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</si>
  <si>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</si>
  <si>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</si>
  <si>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</si>
  <si>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</si>
  <si>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</si>
  <si>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</si>
  <si>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</si>
  <si>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</si>
  <si>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</si>
  <si>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</si>
  <si>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</si>
  <si>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</si>
  <si>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</si>
  <si>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</si>
  <si>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</si>
  <si>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</si>
  <si>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</si>
  <si>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</si>
  <si>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</si>
  <si>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</si>
  <si>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</si>
  <si>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</si>
  <si>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</si>
  <si>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</si>
  <si>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</si>
  <si>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</si>
  <si>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</si>
  <si>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</si>
  <si>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</si>
  <si>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</si>
  <si>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</si>
  <si>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</si>
  <si>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</si>
  <si>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</si>
  <si>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</si>
  <si>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</si>
  <si>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</si>
  <si>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</si>
  <si>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</si>
  <si>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</si>
  <si>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</si>
  <si>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</si>
  <si>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</si>
  <si>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</si>
  <si>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</si>
  <si>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</si>
  <si>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</si>
  <si>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</si>
  <si>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</si>
  <si>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</si>
  <si>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</si>
  <si>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</si>
  <si>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</si>
  <si>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</si>
  <si>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</si>
  <si>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</si>
  <si>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</si>
  <si>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</si>
  <si>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</si>
  <si>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</si>
  <si>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</si>
  <si>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</si>
  <si>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</si>
  <si>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</si>
  <si>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</si>
  <si>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</si>
  <si>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</si>
  <si>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</si>
  <si>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</si>
  <si>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</si>
  <si>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</si>
  <si>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</si>
  <si>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</si>
  <si>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</si>
  <si>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</si>
  <si>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</si>
  <si>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</si>
  <si>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</si>
  <si>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</si>
  <si>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</si>
  <si>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</si>
  <si>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</si>
  <si>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</si>
  <si>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</si>
  <si>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</si>
  <si>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</si>
  <si>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</si>
  <si>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</si>
  <si>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</si>
  <si>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</si>
  <si>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</si>
  <si>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</si>
  <si>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</si>
  <si>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</si>
  <si>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</si>
  <si>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</si>
  <si>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</si>
  <si>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</si>
  <si>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</si>
  <si>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</si>
  <si>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</si>
  <si>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</si>
  <si>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</si>
  <si>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</si>
  <si>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</si>
  <si>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</si>
  <si>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</si>
  <si>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</si>
  <si>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</si>
  <si>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</si>
  <si>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</si>
  <si>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</si>
  <si>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</si>
  <si>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</si>
  <si>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</si>
  <si>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</si>
  <si>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</si>
  <si>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</si>
  <si>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</si>
  <si>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</si>
  <si>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</si>
  <si>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</si>
  <si>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</si>
  <si>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</si>
  <si>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</si>
  <si>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</si>
  <si>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</si>
  <si>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</si>
  <si>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</si>
  <si>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</si>
  <si>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</si>
  <si>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</si>
  <si>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</si>
  <si>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</si>
  <si>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</si>
  <si>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</si>
  <si>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</si>
  <si>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</si>
  <si>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</si>
  <si>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</si>
  <si>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</si>
  <si>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</si>
  <si>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</si>
  <si>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</si>
  <si>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</si>
  <si>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</si>
  <si>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</si>
  <si>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</si>
  <si>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</si>
  <si>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</si>
  <si>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</si>
  <si>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</si>
  <si>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</si>
  <si>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</si>
  <si>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</si>
  <si>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</si>
  <si>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</si>
  <si>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</si>
  <si>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</si>
  <si>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</si>
  <si>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</si>
  <si>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</si>
  <si>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</si>
  <si>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</si>
  <si>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</si>
  <si>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</si>
  <si>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</si>
  <si>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</si>
  <si>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</si>
  <si>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</si>
  <si>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</si>
  <si>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</si>
  <si>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</si>
  <si>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</si>
  <si>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</si>
  <si>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</si>
  <si>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</si>
  <si>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</si>
  <si>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</si>
  <si>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</si>
  <si>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</si>
  <si>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</si>
  <si>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</si>
  <si>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</si>
  <si>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</si>
  <si>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</si>
  <si>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</si>
  <si>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</si>
  <si>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</si>
  <si>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</si>
  <si>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</si>
  <si>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</si>
  <si>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</si>
  <si>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</si>
  <si>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</si>
  <si>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</si>
  <si>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</si>
  <si>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</si>
  <si>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</si>
  <si>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</si>
  <si>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</si>
  <si>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</si>
  <si>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</si>
  <si>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</si>
  <si>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</si>
  <si>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</si>
  <si>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</si>
  <si>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</si>
  <si>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</si>
  <si>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</si>
  <si>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</si>
  <si>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</si>
  <si>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</si>
  <si>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</si>
  <si>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</si>
  <si>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</si>
  <si>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</si>
  <si>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</si>
  <si>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</si>
  <si>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</si>
  <si>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</si>
  <si>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</si>
  <si>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</si>
  <si>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</si>
  <si>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</si>
  <si>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</si>
  <si>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</si>
  <si>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</si>
  <si>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</si>
  <si>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</si>
  <si>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</si>
  <si>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</si>
  <si>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</si>
  <si>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</si>
  <si>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</si>
  <si>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</si>
  <si>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</si>
  <si>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</si>
  <si>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</si>
  <si>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</si>
  <si>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</si>
  <si>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</si>
  <si>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</si>
  <si>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</si>
  <si>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</si>
  <si>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</si>
  <si>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</si>
  <si>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</si>
  <si>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</si>
  <si>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</si>
  <si>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</si>
  <si>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</si>
  <si>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</si>
  <si>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</si>
  <si>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</si>
  <si>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</si>
  <si>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</si>
  <si>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</si>
  <si>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</si>
  <si>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</si>
  <si>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</si>
  <si>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</si>
  <si>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</si>
  <si>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</si>
  <si>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</si>
  <si>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</si>
  <si>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</si>
  <si>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</si>
  <si>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</si>
  <si>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</si>
  <si>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</si>
  <si>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</si>
  <si>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</si>
  <si>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</si>
  <si>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</si>
  <si>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</si>
  <si>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</si>
  <si>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</si>
  <si>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</si>
  <si>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</si>
  <si>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</si>
  <si>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</si>
  <si>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</si>
  <si>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</si>
  <si>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</si>
  <si>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</si>
  <si>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</si>
  <si>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</si>
  <si>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</si>
  <si>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</si>
  <si>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</si>
  <si>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</si>
  <si>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</si>
  <si>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</si>
  <si>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</si>
  <si>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</si>
  <si>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</si>
  <si>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</si>
  <si>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</si>
  <si>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</si>
  <si>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</si>
  <si>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</si>
  <si>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</si>
  <si>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</si>
  <si>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</si>
  <si>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</si>
  <si>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</si>
  <si>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</si>
  <si>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</si>
  <si>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</si>
  <si>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</si>
  <si>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</si>
  <si>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</si>
  <si>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</si>
  <si>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</si>
  <si>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</si>
  <si>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</si>
  <si>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</si>
  <si>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</si>
  <si>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</si>
  <si>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</si>
  <si>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</si>
  <si>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</si>
  <si>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</si>
  <si>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</si>
  <si>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</si>
  <si>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</si>
  <si>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</si>
  <si>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</si>
  <si>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</si>
  <si>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</si>
  <si>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</si>
  <si>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</si>
  <si>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</si>
  <si>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</si>
  <si>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</si>
  <si>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</si>
  <si>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</si>
  <si>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</si>
  <si>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</si>
  <si>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</si>
  <si>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</si>
  <si>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</si>
  <si>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</si>
  <si>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</si>
  <si>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</si>
  <si>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</si>
  <si>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</si>
  <si>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</si>
  <si>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</si>
  <si>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</si>
  <si>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</si>
  <si>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</si>
  <si>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</si>
  <si>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</si>
  <si>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</si>
  <si>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</si>
  <si>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</si>
  <si>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</si>
  <si>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</si>
  <si>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</si>
  <si>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</si>
  <si>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</si>
  <si>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</si>
  <si>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</si>
  <si>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</si>
  <si>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</si>
  <si>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</si>
  <si>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</si>
  <si>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</si>
  <si>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</si>
  <si>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</si>
  <si>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</si>
  <si>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</si>
  <si>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</si>
  <si>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</si>
  <si>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</si>
  <si>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</si>
  <si>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</si>
  <si>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</si>
  <si>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</si>
  <si>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</si>
  <si>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</si>
  <si>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</si>
  <si>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</si>
  <si>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</si>
  <si>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</si>
  <si>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</si>
  <si>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</si>
  <si>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</si>
  <si>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</si>
  <si>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</si>
  <si>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</si>
  <si>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</si>
  <si>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</si>
  <si>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</si>
  <si>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</si>
  <si>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</si>
  <si>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</si>
  <si>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</si>
  <si>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</si>
  <si>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</si>
  <si>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</si>
  <si>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</si>
  <si>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</si>
  <si>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</si>
  <si>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</si>
  <si>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</si>
  <si>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</si>
  <si>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</si>
  <si>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</si>
  <si>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</si>
  <si>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</si>
  <si>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</si>
  <si>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</si>
  <si>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</si>
  <si>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</si>
  <si>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</si>
  <si>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</si>
  <si>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</si>
  <si>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</si>
  <si>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</si>
  <si>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</si>
  <si>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</si>
  <si>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</si>
  <si>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</si>
  <si>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</si>
  <si>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</si>
  <si>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</si>
  <si>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</si>
  <si>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</si>
  <si>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</si>
  <si>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</si>
  <si>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</si>
  <si>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</si>
  <si>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</si>
  <si>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</si>
  <si>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</si>
  <si>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</si>
  <si>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</si>
  <si>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</si>
  <si>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</si>
  <si>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</si>
  <si>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</si>
  <si>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</si>
  <si>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</si>
  <si>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</si>
  <si>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</si>
  <si>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</si>
  <si>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</si>
  <si>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</si>
  <si>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</si>
  <si>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</si>
  <si>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</si>
  <si>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</si>
  <si>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</si>
  <si>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</si>
  <si>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</si>
  <si>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</si>
  <si>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</si>
  <si>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</si>
  <si>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</si>
  <si>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</si>
  <si>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</si>
  <si>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</si>
  <si>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</si>
  <si>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</si>
  <si>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</si>
  <si>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</si>
  <si>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</si>
  <si>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</si>
  <si>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</si>
  <si>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</si>
  <si>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</si>
  <si>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</si>
  <si>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</si>
  <si>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</si>
  <si>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</si>
  <si>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</si>
  <si>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</si>
  <si>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</si>
  <si>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</si>
  <si>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</si>
  <si>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</si>
  <si>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</si>
  <si>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</si>
  <si>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</si>
  <si>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</si>
  <si>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</si>
  <si>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</si>
  <si>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</si>
  <si>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</si>
  <si>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</si>
  <si>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</si>
  <si>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</si>
  <si>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</si>
  <si>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</si>
  <si>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</si>
  <si>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</si>
  <si>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</si>
  <si>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</si>
  <si>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</si>
  <si>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</si>
  <si>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</si>
  <si>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</si>
  <si>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</si>
  <si>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</si>
  <si>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</si>
  <si>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</si>
  <si>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</si>
  <si>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</si>
  <si>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</si>
  <si>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</si>
  <si>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</si>
  <si>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</si>
  <si>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</si>
  <si>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</si>
  <si>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</si>
  <si>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</si>
  <si>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</si>
  <si>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</si>
  <si>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</si>
  <si>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</si>
  <si>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</si>
  <si>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</si>
  <si>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</si>
  <si>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</si>
  <si>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</si>
  <si>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</si>
  <si>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</si>
  <si>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</si>
  <si>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</si>
  <si>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</si>
  <si>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</si>
  <si>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</si>
  <si>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</si>
  <si>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</si>
  <si>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</si>
  <si>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</si>
  <si>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</si>
  <si>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</si>
  <si>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</si>
  <si>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</si>
  <si>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</si>
  <si>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</si>
  <si>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</si>
  <si>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</si>
  <si>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</si>
  <si>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</si>
  <si>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</si>
  <si>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</si>
  <si>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</si>
  <si>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</si>
  <si>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</si>
  <si>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</si>
  <si>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</si>
  <si>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</si>
  <si>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</si>
  <si>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</si>
  <si>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</si>
  <si>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</si>
  <si>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</si>
  <si>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</si>
  <si>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</si>
  <si>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</si>
  <si>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</si>
  <si>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</si>
  <si>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</si>
  <si>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</si>
  <si>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</si>
  <si>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</si>
  <si>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</si>
  <si>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</si>
  <si>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</si>
  <si>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</si>
  <si>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</si>
  <si>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</si>
  <si>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</si>
  <si>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</si>
  <si>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</si>
  <si>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</si>
  <si>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</si>
  <si>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</si>
  <si>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</si>
  <si>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</si>
  <si>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</si>
  <si>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</si>
  <si>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</si>
  <si>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</si>
  <si>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</si>
  <si>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</si>
  <si>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</si>
  <si>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</si>
  <si>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</si>
  <si>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</si>
  <si>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</si>
  <si>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</si>
  <si>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</si>
  <si>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</si>
  <si>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</si>
  <si>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</si>
  <si>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</si>
  <si>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</si>
  <si>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</si>
  <si>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</si>
  <si>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</si>
  <si>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</si>
  <si>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</si>
  <si>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</si>
  <si>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</si>
  <si>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</si>
  <si>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</si>
  <si>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</si>
  <si>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</si>
  <si>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</si>
  <si>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</si>
  <si>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</si>
  <si>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</si>
  <si>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</si>
  <si>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</si>
  <si>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</si>
  <si>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</si>
  <si>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</si>
  <si>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</si>
  <si>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</si>
  <si>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</si>
  <si>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</si>
  <si>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</si>
  <si>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</si>
  <si>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</si>
  <si>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</si>
  <si>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</si>
  <si>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</si>
  <si>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</si>
  <si>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</si>
  <si>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</si>
  <si>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</si>
  <si>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</si>
  <si>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</si>
  <si>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</si>
  <si>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</si>
  <si>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</si>
  <si>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</si>
  <si>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</si>
  <si>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</si>
  <si>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</si>
  <si>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</si>
  <si>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</si>
  <si>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</si>
  <si>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</si>
  <si>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</si>
  <si>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</si>
  <si>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</si>
  <si>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</si>
  <si>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</si>
  <si>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</si>
  <si>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</si>
  <si>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</si>
  <si>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</si>
  <si>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</si>
  <si>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</si>
  <si>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</si>
  <si>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</si>
  <si>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</si>
  <si>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</si>
  <si>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</si>
  <si>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</si>
  <si>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</si>
  <si>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</si>
  <si>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</si>
  <si>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</si>
  <si>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</si>
  <si>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</si>
  <si>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</si>
  <si>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</si>
  <si>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</si>
  <si>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</si>
  <si>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</si>
  <si>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</si>
  <si>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</si>
  <si>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</si>
  <si>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</si>
  <si>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</si>
  <si>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</si>
  <si>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</si>
  <si>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</si>
  <si>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</si>
  <si>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</si>
  <si>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</si>
  <si>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</si>
  <si>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</si>
  <si>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</si>
  <si>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</si>
  <si>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</si>
  <si>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</si>
  <si>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</si>
  <si>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</si>
  <si>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</si>
  <si>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</si>
  <si>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</si>
  <si>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</si>
  <si>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</si>
  <si>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</si>
  <si>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</si>
  <si>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</si>
  <si>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</si>
  <si>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</si>
  <si>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</si>
  <si>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</si>
  <si>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</si>
  <si>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</si>
  <si>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</si>
  <si>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</si>
  <si>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</si>
  <si>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</si>
  <si>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</si>
  <si>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</si>
  <si>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</si>
  <si>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</si>
  <si>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</si>
  <si>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</si>
  <si>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</si>
  <si>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</si>
  <si>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</si>
  <si>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</si>
  <si>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</si>
  <si>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</si>
  <si>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</si>
  <si>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</si>
  <si>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</si>
  <si>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</si>
  <si>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</si>
  <si>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</si>
  <si>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</si>
  <si>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</si>
  <si>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</si>
  <si>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</si>
  <si>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</si>
  <si>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</si>
  <si>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</si>
  <si>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</si>
  <si>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</si>
  <si>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</si>
  <si>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</si>
  <si>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</si>
  <si>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</si>
  <si>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</si>
  <si>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</si>
  <si>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</si>
  <si>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</si>
  <si>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</si>
  <si>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</si>
  <si>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</si>
  <si>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</si>
  <si>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</si>
  <si>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</si>
  <si>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</si>
  <si>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</si>
  <si>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</si>
  <si>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</si>
  <si>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</si>
  <si>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</si>
  <si>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</si>
  <si>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</si>
  <si>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</si>
  <si>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</si>
  <si>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</si>
  <si>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</si>
  <si>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</si>
  <si>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</si>
  <si>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</si>
  <si>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</si>
  <si>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</si>
  <si>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</si>
  <si>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</si>
  <si>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</si>
  <si>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</si>
  <si>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</si>
  <si>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</si>
  <si>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</si>
  <si>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</si>
  <si>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</si>
  <si>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</si>
  <si>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</si>
  <si>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</si>
  <si>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</si>
  <si>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</si>
  <si>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</si>
  <si>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</si>
  <si>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</si>
  <si>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</si>
  <si>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</si>
  <si>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</si>
  <si>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</si>
  <si>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</si>
  <si>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</si>
  <si>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</si>
  <si>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</si>
  <si>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</si>
  <si>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</si>
  <si>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</si>
  <si>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</si>
  <si>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</si>
  <si>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</si>
  <si>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</si>
  <si>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</si>
  <si>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</si>
  <si>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</si>
  <si>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</si>
  <si>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</si>
  <si>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</si>
  <si>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</si>
  <si>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</si>
  <si>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</si>
  <si>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</si>
  <si>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</si>
  <si>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</si>
  <si>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</si>
  <si>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</si>
  <si>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</si>
  <si>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</si>
  <si>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</si>
  <si>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</si>
  <si>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</si>
  <si>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</si>
  <si>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</si>
  <si>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</si>
  <si>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</si>
  <si>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</si>
  <si>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</si>
  <si>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</si>
  <si>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</si>
  <si>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</si>
  <si>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</si>
  <si>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</si>
  <si>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</si>
  <si>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</si>
  <si>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</si>
  <si>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</si>
  <si>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</si>
  <si>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</si>
  <si>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</si>
  <si>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</si>
  <si>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</si>
  <si>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</si>
  <si>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</si>
  <si>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</si>
  <si>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</si>
  <si>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</si>
  <si>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</si>
  <si>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</si>
  <si>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</si>
  <si>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</si>
  <si>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</si>
  <si>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</si>
  <si>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</si>
  <si>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</si>
  <si>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</si>
  <si>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</si>
  <si>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</si>
  <si>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</si>
  <si>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</si>
  <si>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</si>
  <si>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</si>
  <si>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</si>
  <si>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</si>
  <si>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</si>
  <si>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</si>
  <si>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</si>
  <si>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</si>
  <si>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</si>
  <si>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</si>
  <si>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</si>
  <si>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</si>
  <si>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</si>
  <si>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</si>
  <si>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</si>
  <si>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</si>
  <si>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</si>
  <si>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</si>
  <si>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</si>
  <si>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</si>
  <si>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</si>
  <si>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</si>
  <si>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</si>
  <si>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</si>
  <si>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</si>
  <si>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</si>
  <si>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</si>
  <si>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</si>
  <si>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</si>
  <si>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</si>
  <si>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</si>
  <si>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</si>
  <si>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</si>
  <si>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</si>
  <si>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</si>
  <si>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</si>
  <si>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</si>
  <si>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</si>
  <si>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</si>
  <si>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</si>
  <si>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</si>
  <si>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</si>
  <si>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</si>
  <si>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</si>
  <si>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</si>
  <si>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</si>
  <si>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</si>
  <si>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</si>
  <si>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</si>
  <si>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</si>
  <si>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</si>
  <si>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</si>
  <si>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</si>
  <si>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</si>
  <si>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</si>
  <si>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</si>
  <si>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</si>
  <si>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</si>
  <si>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</si>
  <si>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</si>
  <si>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</si>
  <si>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</si>
  <si>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</si>
  <si>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</si>
  <si>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</si>
  <si>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</si>
  <si>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</si>
  <si>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</si>
  <si>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</si>
  <si>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</si>
  <si>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</si>
  <si>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</si>
  <si>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</si>
  <si>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</si>
  <si>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</si>
  <si>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</si>
  <si>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</si>
  <si>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</si>
  <si>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</si>
  <si>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</si>
  <si>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</si>
  <si>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</si>
  <si>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</si>
  <si>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</si>
  <si>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</si>
  <si>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</si>
  <si>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</si>
  <si>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</si>
  <si>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</si>
  <si>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</si>
  <si>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</si>
  <si>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</si>
  <si>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</si>
  <si>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</si>
  <si>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</si>
  <si>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</si>
  <si>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</si>
  <si>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</si>
  <si>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</si>
  <si>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</si>
  <si>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</si>
  <si>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</si>
  <si>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</si>
  <si>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</si>
  <si>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</si>
  <si>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</si>
  <si>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</si>
  <si>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</si>
  <si>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</si>
  <si>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</si>
  <si>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</si>
  <si>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</si>
  <si>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</si>
  <si>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</si>
  <si>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</si>
  <si>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</si>
  <si>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</si>
  <si>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</si>
  <si>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</si>
  <si>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</si>
  <si>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</si>
  <si>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</si>
  <si>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</si>
  <si>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</si>
  <si>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</si>
  <si>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</si>
  <si>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</si>
  <si>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</si>
  <si>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</si>
  <si>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</si>
  <si>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</si>
  <si>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</si>
  <si>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</si>
  <si>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</si>
  <si>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</si>
  <si>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</si>
  <si>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</si>
  <si>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</si>
  <si>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</si>
  <si>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</si>
  <si>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</si>
  <si>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</si>
  <si>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</si>
  <si>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</si>
  <si>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</si>
  <si>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</si>
  <si>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</si>
  <si>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</si>
  <si>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</si>
  <si>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</si>
  <si>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</si>
  <si>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</si>
  <si>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</si>
  <si>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</si>
  <si>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</si>
  <si>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</si>
  <si>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</si>
  <si>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</si>
  <si>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</si>
  <si>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</si>
  <si>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</si>
  <si>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</si>
  <si>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</si>
  <si>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</si>
  <si>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</si>
  <si>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</si>
  <si>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</si>
  <si>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</si>
  <si>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</si>
  <si>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</si>
  <si>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</si>
  <si>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</si>
  <si>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</si>
  <si>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</si>
  <si>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</si>
  <si>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</si>
  <si>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</si>
  <si>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</si>
  <si>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</si>
  <si>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</si>
  <si>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</si>
  <si>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</si>
  <si>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</si>
  <si>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</si>
  <si>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</si>
  <si>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</si>
  <si>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</si>
  <si>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</si>
  <si>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</si>
  <si>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</si>
  <si>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</si>
  <si>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</si>
  <si>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</si>
  <si>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</si>
  <si>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</si>
  <si>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</si>
  <si>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</si>
  <si>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</si>
  <si>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</si>
  <si>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</si>
  <si>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</si>
  <si>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</si>
  <si>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</si>
  <si>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</si>
  <si>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</si>
  <si>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</si>
  <si>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</si>
  <si>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</si>
  <si>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</si>
  <si>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</si>
  <si>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</si>
  <si>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</si>
  <si>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</si>
  <si>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</si>
  <si>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</si>
  <si>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</si>
  <si>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</si>
  <si>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</si>
  <si>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</si>
  <si>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</si>
  <si>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</si>
  <si>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</si>
  <si>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</si>
  <si>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</si>
  <si>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</si>
  <si>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</si>
  <si>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</si>
  <si>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</si>
  <si>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</si>
  <si>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</si>
  <si>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</si>
  <si>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</si>
  <si>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</si>
  <si>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</si>
  <si>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</si>
  <si>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</si>
  <si>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</si>
  <si>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</si>
  <si>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</si>
  <si>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</si>
  <si>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</si>
  <si>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</si>
  <si>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</si>
  <si>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</si>
  <si>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</si>
  <si>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</si>
  <si>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</si>
  <si>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</si>
  <si>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</si>
  <si>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</si>
  <si>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</si>
  <si>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</si>
  <si>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</si>
  <si>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</si>
  <si>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</si>
  <si>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</si>
  <si>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</si>
  <si>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</si>
  <si>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</si>
  <si>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</si>
  <si>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</si>
  <si>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</si>
  <si>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</si>
  <si>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</si>
  <si>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</si>
  <si>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</si>
  <si>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</si>
  <si>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</si>
  <si>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</si>
  <si>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</si>
  <si>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</si>
  <si>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</si>
  <si>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</si>
  <si>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</si>
  <si>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</si>
  <si>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</si>
  <si>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</si>
  <si>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</si>
  <si>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</si>
  <si>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</si>
  <si>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</si>
  <si>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</si>
  <si>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</si>
  <si>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</si>
  <si>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</si>
  <si>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</si>
  <si>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</si>
  <si>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</si>
  <si>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</si>
  <si>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</si>
  <si>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</si>
  <si>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</si>
  <si>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</si>
  <si>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</si>
  <si>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</si>
  <si>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</si>
  <si>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</si>
  <si>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</si>
  <si>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</si>
  <si>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</si>
  <si>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</si>
  <si>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</si>
  <si>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</si>
  <si>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</si>
  <si>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</si>
  <si>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</si>
  <si>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</si>
  <si>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</si>
  <si>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</si>
  <si>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</si>
  <si>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</si>
  <si>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</si>
  <si>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</si>
  <si>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</si>
  <si>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</si>
  <si>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</si>
  <si>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</si>
  <si>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</si>
  <si>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</si>
  <si>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</si>
  <si>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</si>
  <si>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</si>
  <si>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</si>
  <si>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</si>
  <si>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</si>
  <si>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</si>
  <si>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</si>
  <si>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</si>
  <si>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</si>
  <si>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</si>
  <si>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</si>
  <si>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</si>
  <si>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</si>
  <si>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</si>
  <si>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</si>
  <si>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</si>
  <si>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</si>
  <si>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</si>
  <si>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</si>
  <si>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</si>
  <si>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</si>
  <si>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</si>
  <si>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</si>
  <si>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</si>
  <si>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</si>
  <si>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</si>
  <si>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</si>
  <si>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</si>
  <si>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</si>
  <si>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</si>
  <si>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</si>
  <si>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</si>
  <si>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</si>
  <si>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</si>
  <si>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</si>
  <si>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</si>
  <si>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</si>
  <si>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</si>
  <si>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</si>
  <si>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</si>
  <si>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</si>
  <si>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</si>
  <si>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</si>
  <si>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</si>
  <si>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</si>
  <si>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</si>
  <si>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</si>
  <si>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</si>
  <si>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</si>
  <si>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</si>
  <si>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</si>
  <si>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</si>
  <si>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</si>
  <si>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</si>
  <si>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</si>
  <si>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</si>
  <si>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</si>
  <si>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</si>
  <si>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</si>
  <si>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</si>
  <si>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</si>
  <si>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</si>
  <si>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</si>
  <si>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</si>
  <si>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</si>
  <si>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</si>
  <si>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</si>
  <si>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</si>
  <si>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</si>
  <si>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</si>
  <si>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</si>
  <si>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</si>
  <si>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</si>
  <si>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</si>
  <si>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</si>
  <si>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</si>
  <si>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</si>
  <si>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</si>
  <si>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</si>
  <si>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</si>
  <si>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</si>
  <si>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</si>
  <si>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</si>
  <si>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</si>
  <si>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</si>
  <si>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</si>
  <si>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</si>
  <si>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</si>
  <si>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</si>
  <si>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</si>
  <si>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</si>
  <si>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</si>
  <si>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</si>
  <si>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</si>
  <si>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</si>
  <si>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</si>
  <si>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</si>
  <si>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</si>
  <si>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</si>
  <si>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</si>
  <si>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</si>
  <si>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</si>
  <si>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</si>
  <si>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</si>
  <si>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</si>
  <si>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</si>
  <si>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</si>
  <si>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</si>
  <si>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</si>
  <si>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</si>
  <si>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</si>
  <si>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</si>
  <si>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</si>
  <si>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</si>
  <si>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</si>
  <si>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</si>
  <si>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</si>
  <si>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</si>
  <si>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</si>
  <si>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</si>
  <si>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</si>
  <si>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</si>
  <si>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</si>
  <si>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</si>
  <si>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</si>
  <si>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</si>
  <si>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</si>
  <si>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</si>
  <si>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</si>
  <si>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</si>
  <si>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</si>
  <si>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</si>
  <si>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</si>
  <si>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</si>
  <si>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</si>
  <si>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</si>
  <si>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</si>
  <si>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</si>
  <si>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</si>
  <si>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</si>
  <si>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</si>
  <si>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</si>
  <si>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</si>
  <si>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</si>
  <si>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</si>
  <si>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</si>
  <si>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</si>
  <si>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</si>
  <si>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</si>
  <si>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</si>
  <si>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</si>
  <si>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</si>
  <si>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</si>
  <si>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</si>
  <si>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</si>
  <si>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</si>
  <si>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</si>
  <si>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</si>
  <si>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</si>
  <si>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</si>
  <si>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</si>
  <si>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</si>
  <si>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</si>
  <si>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</si>
  <si>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</si>
  <si>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</si>
  <si>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</si>
  <si>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</si>
  <si>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</si>
  <si>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</si>
  <si>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</si>
  <si>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</si>
  <si>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</si>
  <si>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</si>
  <si>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</si>
  <si>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</si>
  <si>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</si>
  <si>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</si>
  <si>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</si>
  <si>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</si>
  <si>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</si>
  <si>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</si>
  <si>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</si>
  <si>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</si>
  <si>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</si>
  <si>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</si>
  <si>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</si>
  <si>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</si>
  <si>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</si>
  <si>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</si>
  <si>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</si>
  <si>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</si>
  <si>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</si>
  <si>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</si>
  <si>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</si>
  <si>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</si>
  <si>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</si>
  <si>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</si>
  <si>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</si>
  <si>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</si>
  <si>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</si>
  <si>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</si>
  <si>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</si>
  <si>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</si>
  <si>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</si>
  <si>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</si>
  <si>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</si>
  <si>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</si>
  <si>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</si>
  <si>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</si>
  <si>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</si>
  <si>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</si>
  <si>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</si>
  <si>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</si>
  <si>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</si>
  <si>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</si>
  <si>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</si>
  <si>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</si>
  <si>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</si>
  <si>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</si>
  <si>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</si>
  <si>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</si>
  <si>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</si>
  <si>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</si>
  <si>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</si>
  <si>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</si>
  <si>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</si>
  <si>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</si>
  <si>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</si>
  <si>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</si>
  <si>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</si>
  <si>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</si>
  <si>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</si>
  <si>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</si>
  <si>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</si>
  <si>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</si>
  <si>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</si>
  <si>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</si>
  <si>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</si>
  <si>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</si>
  <si>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</si>
  <si>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</si>
  <si>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</si>
  <si>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</si>
  <si>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</si>
  <si>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</si>
  <si>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</si>
  <si>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</si>
  <si>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</si>
  <si>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</si>
  <si>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</si>
  <si>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</si>
  <si>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</si>
  <si>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</si>
  <si>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</si>
  <si>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</si>
  <si>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</si>
  <si>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</si>
  <si>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</si>
  <si>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</si>
  <si>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</si>
  <si>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</si>
  <si>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</si>
  <si>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</si>
  <si>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</si>
  <si>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</si>
  <si>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</si>
  <si>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</si>
  <si>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</si>
  <si>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</si>
  <si>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</si>
  <si>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</si>
  <si>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</si>
  <si>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</si>
  <si>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</si>
  <si>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</si>
  <si>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</si>
  <si>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</si>
  <si>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</si>
  <si>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</si>
  <si>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</si>
  <si>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</si>
  <si>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</si>
  <si>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</si>
  <si>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</si>
  <si>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</si>
  <si>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</si>
  <si>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</si>
  <si>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</si>
  <si>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</si>
  <si>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</si>
  <si>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</si>
  <si>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</si>
  <si>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</si>
  <si>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</si>
  <si>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</si>
  <si>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</si>
  <si>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</si>
  <si>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</si>
  <si>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</si>
  <si>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</si>
  <si>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</si>
  <si>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</si>
  <si>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</si>
  <si>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</si>
  <si>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</si>
  <si>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</si>
  <si>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</si>
  <si>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</si>
  <si>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</si>
  <si>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</si>
  <si>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</si>
  <si>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</si>
  <si>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</si>
  <si>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</si>
  <si>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</si>
  <si>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</si>
  <si>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</si>
  <si>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</si>
  <si>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</si>
  <si>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</si>
  <si>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</si>
  <si>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</si>
  <si>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</si>
  <si>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</si>
  <si>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</si>
  <si>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</si>
  <si>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</si>
  <si>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</si>
  <si>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</si>
  <si>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</si>
  <si>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</si>
  <si>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</si>
  <si>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</si>
  <si>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</si>
  <si>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</si>
  <si>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</si>
  <si>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</si>
  <si>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</si>
  <si>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</si>
  <si>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</si>
  <si>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</si>
  <si>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</si>
  <si>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</si>
  <si>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</si>
  <si>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</si>
  <si>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</si>
  <si>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</si>
  <si>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</si>
  <si>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</si>
  <si>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</si>
  <si>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</si>
  <si>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</si>
  <si>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</si>
  <si>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</si>
  <si>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</si>
  <si>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</si>
  <si>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</si>
  <si>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</si>
  <si>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</si>
  <si>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</si>
  <si>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</si>
  <si>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</si>
  <si>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</si>
  <si>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</si>
  <si>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</si>
  <si>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</si>
  <si>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</si>
  <si>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</si>
  <si>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</si>
  <si>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</si>
  <si>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</si>
  <si>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</si>
  <si>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</si>
  <si>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</si>
  <si>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</si>
  <si>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</si>
  <si>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</si>
  <si>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</si>
  <si>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</si>
  <si>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</si>
  <si>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</si>
  <si>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</si>
  <si>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</si>
  <si>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</si>
  <si>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</si>
  <si>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</si>
  <si>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</si>
  <si>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</si>
  <si>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</si>
  <si>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</si>
  <si>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</si>
  <si>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</si>
  <si>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</si>
  <si>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</si>
  <si>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</si>
  <si>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</si>
  <si>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</si>
  <si>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</si>
  <si>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</si>
  <si>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</si>
  <si>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</si>
  <si>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</si>
  <si>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</si>
  <si>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</si>
  <si>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</si>
  <si>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</si>
  <si>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</si>
  <si>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</si>
  <si>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</si>
  <si>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</si>
  <si>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</si>
  <si>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</si>
  <si>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</si>
  <si>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</si>
  <si>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</si>
  <si>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</si>
  <si>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</si>
  <si>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</si>
  <si>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</si>
  <si>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</si>
  <si>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</si>
  <si>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</si>
  <si>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</si>
  <si>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</si>
  <si>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</si>
  <si>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</si>
  <si>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</si>
  <si>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</si>
  <si>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</si>
  <si>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</si>
  <si>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</si>
  <si>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</si>
  <si>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</si>
  <si>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</si>
  <si>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</si>
  <si>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</si>
  <si>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</si>
  <si>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</si>
  <si>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</si>
  <si>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</si>
  <si>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</si>
  <si>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</si>
  <si>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</si>
  <si>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</si>
  <si>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</si>
  <si>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</si>
  <si>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</si>
  <si>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</si>
  <si>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</si>
  <si>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</si>
  <si>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</si>
  <si>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</si>
  <si>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</si>
  <si>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</si>
  <si>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</si>
  <si>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</si>
  <si>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</si>
  <si>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</si>
  <si>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</si>
  <si>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</si>
  <si>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</si>
  <si>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</si>
  <si>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</si>
  <si>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</si>
  <si>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</si>
  <si>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</si>
  <si>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</si>
  <si>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</si>
  <si>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</si>
  <si>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</si>
  <si>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</si>
  <si>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</si>
  <si>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</si>
  <si>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</si>
  <si>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</si>
  <si>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</si>
  <si>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</si>
  <si>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</si>
  <si>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</si>
  <si>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</si>
  <si>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</si>
  <si>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</si>
  <si>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</si>
  <si>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</si>
  <si>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</si>
  <si>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</si>
  <si>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</si>
  <si>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</si>
  <si>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</si>
  <si>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</si>
  <si>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</si>
  <si>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</si>
  <si>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</si>
  <si>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</si>
  <si>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</si>
  <si>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</si>
  <si>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</si>
  <si>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</si>
  <si>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</si>
  <si>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</si>
  <si>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</si>
  <si>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</si>
  <si>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</si>
  <si>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</si>
  <si>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</si>
  <si>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</si>
  <si>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</si>
  <si>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</si>
  <si>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</si>
  <si>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</si>
  <si>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</si>
  <si>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</si>
  <si>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</si>
  <si>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</si>
  <si>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</si>
  <si>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</si>
  <si>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</si>
  <si>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</si>
  <si>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</si>
  <si>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</si>
  <si>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</si>
  <si>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</si>
  <si>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</si>
  <si>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</si>
  <si>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</si>
  <si>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</si>
  <si>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</si>
  <si>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</si>
  <si>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</si>
  <si>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</si>
  <si>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</si>
  <si>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</si>
  <si>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</si>
  <si>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</si>
  <si>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</si>
  <si>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</si>
  <si>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</si>
  <si>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</si>
  <si>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</si>
  <si>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</si>
  <si>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</si>
  <si>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</si>
  <si>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</si>
  <si>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</si>
  <si>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</si>
  <si>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</si>
  <si>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</si>
  <si>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</si>
  <si>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</si>
  <si>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</si>
  <si>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</si>
  <si>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</si>
  <si>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</si>
  <si>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</si>
  <si>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</si>
  <si>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</si>
  <si>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</si>
  <si>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</si>
  <si>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</si>
  <si>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</si>
  <si>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</si>
  <si>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</si>
  <si>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</si>
  <si>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</si>
  <si>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</si>
  <si>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</si>
  <si>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</si>
  <si>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</si>
  <si>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</si>
  <si>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</si>
  <si>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</si>
  <si>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</si>
  <si>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</si>
  <si>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</si>
  <si>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</si>
  <si>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</si>
  <si>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</si>
  <si>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</si>
  <si>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</si>
  <si>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</si>
  <si>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</si>
  <si>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</si>
  <si>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</si>
  <si>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</si>
  <si>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</si>
  <si>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</si>
  <si>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</si>
  <si>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</si>
  <si>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</si>
  <si>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</si>
  <si>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</si>
  <si>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</si>
  <si>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</si>
  <si>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</si>
  <si>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</si>
  <si>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</si>
  <si>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</si>
  <si>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</si>
  <si>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</si>
  <si>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</si>
  <si>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</si>
  <si>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</si>
  <si>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</si>
  <si>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</si>
  <si>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</si>
  <si>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</si>
  <si>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</si>
  <si>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</si>
  <si>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</si>
  <si>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</si>
  <si>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</si>
  <si>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</si>
  <si>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</si>
  <si>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</si>
  <si>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</si>
  <si>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</si>
  <si>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</si>
  <si>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</si>
  <si>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</si>
  <si>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</si>
  <si>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</si>
  <si>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</si>
  <si>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</si>
  <si>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</si>
  <si>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</si>
  <si>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</si>
  <si>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</si>
  <si>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</si>
  <si>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</si>
  <si>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</si>
  <si>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</si>
  <si>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</si>
  <si>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</si>
  <si>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</si>
  <si>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</si>
  <si>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</si>
  <si>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</si>
  <si>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</si>
  <si>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</si>
  <si>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</si>
  <si>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</si>
  <si>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</si>
  <si>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</si>
  <si>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</si>
  <si>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</si>
  <si>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</si>
  <si>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</si>
  <si>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</si>
  <si>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</si>
  <si>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</si>
  <si>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</si>
  <si>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</si>
  <si>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</si>
  <si>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</si>
  <si>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</si>
  <si>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</si>
  <si>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</si>
  <si>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</si>
  <si>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</si>
  <si>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</si>
  <si>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</si>
  <si>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</si>
  <si>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</si>
  <si>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</si>
  <si>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</si>
  <si>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</si>
  <si>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</si>
  <si>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</si>
  <si>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</si>
  <si>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</si>
  <si>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</si>
  <si>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</si>
  <si>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</si>
  <si>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</si>
  <si>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</si>
  <si>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</si>
  <si>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</si>
  <si>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</si>
  <si>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</si>
  <si>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</si>
  <si>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</si>
  <si>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</si>
  <si>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</si>
  <si>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</si>
  <si>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</si>
  <si>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</si>
  <si>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</si>
  <si>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</si>
  <si>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</si>
  <si>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</si>
  <si>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</si>
  <si>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</si>
  <si>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</si>
  <si>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</si>
  <si>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</si>
  <si>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</si>
  <si>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</si>
  <si>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</si>
  <si>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</si>
  <si>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</si>
  <si>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</si>
  <si>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</si>
  <si>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</si>
  <si>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</si>
  <si>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</si>
  <si>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</si>
  <si>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</si>
  <si>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</si>
  <si>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</si>
  <si>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</si>
  <si>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</si>
  <si>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</si>
  <si>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</si>
  <si>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</si>
  <si>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</si>
  <si>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</si>
  <si>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</si>
  <si>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</si>
  <si>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</si>
  <si>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</si>
  <si>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</si>
  <si>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</si>
  <si>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</si>
  <si>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</si>
  <si>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</si>
  <si>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</si>
  <si>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</si>
  <si>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</si>
  <si>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</si>
  <si>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</si>
  <si>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</si>
  <si>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</si>
  <si>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</si>
  <si>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</si>
  <si>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</si>
  <si>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</si>
  <si>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</si>
  <si>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</si>
  <si>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</si>
  <si>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</si>
  <si>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</si>
  <si>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</si>
  <si>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</si>
  <si>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</si>
  <si>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</si>
  <si>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</si>
  <si>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</si>
  <si>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</si>
  <si>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</si>
  <si>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</si>
  <si>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</si>
  <si>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</si>
  <si>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</si>
  <si>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</si>
  <si>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</si>
  <si>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</si>
  <si>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</si>
  <si>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</si>
  <si>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</si>
  <si>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</si>
  <si>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</si>
  <si>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</si>
  <si>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</si>
  <si>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</si>
  <si>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</si>
  <si>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</si>
  <si>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</si>
  <si>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</si>
  <si>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</si>
  <si>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</si>
  <si>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</si>
  <si>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</si>
  <si>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</si>
  <si>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</si>
  <si>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</si>
  <si>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</si>
  <si>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</si>
  <si>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</si>
  <si>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</si>
  <si>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</si>
  <si>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</si>
  <si>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</si>
  <si>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</si>
  <si>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</si>
  <si>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</si>
  <si>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</si>
  <si>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</si>
  <si>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</si>
  <si>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</si>
  <si>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</si>
  <si>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</si>
  <si>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</si>
  <si>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</si>
  <si>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</si>
  <si>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</si>
  <si>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</si>
  <si>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</si>
  <si>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</si>
  <si>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</si>
  <si>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</si>
  <si>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</si>
  <si>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</si>
  <si>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</si>
  <si>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</si>
  <si>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</si>
  <si>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</si>
  <si>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</si>
  <si>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</si>
  <si>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</si>
  <si>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</si>
  <si>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</si>
  <si>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</si>
  <si>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</si>
  <si>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</si>
  <si>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</si>
  <si>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</si>
  <si>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</si>
  <si>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</si>
  <si>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</si>
  <si>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</si>
  <si>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</si>
  <si>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</si>
  <si>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</si>
  <si>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</si>
  <si>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</si>
  <si>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</si>
  <si>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</si>
  <si>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</si>
  <si>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</si>
  <si>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</si>
  <si>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</si>
  <si>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</si>
  <si>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</si>
  <si>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</si>
  <si>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</si>
  <si>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</si>
  <si>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</si>
  <si>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</si>
  <si>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</si>
  <si>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</si>
  <si>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</si>
  <si>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</si>
  <si>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</si>
  <si>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</si>
  <si>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</si>
  <si>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</si>
  <si>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</si>
  <si>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</si>
  <si>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</si>
  <si>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</si>
  <si>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</si>
  <si>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</si>
  <si>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</si>
  <si>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</si>
  <si>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</si>
  <si>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</si>
  <si>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</si>
  <si>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</si>
  <si>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</si>
  <si>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</si>
  <si>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</si>
  <si>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</si>
  <si>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</si>
  <si>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</si>
  <si>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</si>
  <si>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</si>
  <si>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</si>
  <si>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</si>
  <si>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</si>
  <si>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</si>
  <si>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</si>
  <si>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</si>
  <si>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</si>
  <si>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</si>
  <si>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</si>
  <si>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</si>
  <si>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</si>
  <si>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</si>
  <si>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</si>
  <si>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</si>
  <si>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</si>
  <si>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</si>
  <si>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</si>
  <si>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</si>
  <si>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</si>
  <si>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</si>
  <si>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</si>
  <si>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</si>
  <si>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</si>
  <si>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</si>
  <si>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</si>
  <si>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</si>
  <si>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</si>
  <si>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</si>
  <si>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</si>
  <si>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</si>
  <si>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</si>
  <si>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</si>
  <si>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</si>
  <si>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</si>
  <si>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</si>
  <si>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</si>
  <si>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</si>
  <si>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</si>
  <si>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</si>
  <si>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</si>
  <si>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</si>
  <si>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</si>
  <si>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</si>
  <si>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</si>
  <si>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</si>
  <si>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</si>
  <si>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</si>
  <si>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</si>
  <si>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</si>
  <si>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</si>
  <si>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</si>
  <si>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</si>
  <si>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</si>
  <si>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</si>
  <si>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</si>
  <si>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</si>
  <si>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</si>
  <si>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</si>
  <si>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</si>
  <si>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</si>
  <si>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</si>
  <si>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</si>
  <si>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</si>
  <si>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</si>
  <si>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</si>
  <si>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</si>
  <si>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</si>
  <si>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</si>
  <si>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</si>
  <si>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</si>
  <si>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</si>
  <si>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</si>
  <si>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</si>
  <si>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</si>
  <si>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</si>
  <si>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</si>
  <si>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</si>
  <si>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</si>
  <si>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</si>
  <si>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</si>
  <si>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</si>
  <si>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</si>
  <si>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</si>
  <si>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</si>
  <si>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</si>
  <si>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</si>
  <si>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</si>
  <si>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</si>
  <si>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</si>
  <si>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</si>
  <si>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</si>
  <si>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</si>
  <si>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</si>
  <si>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</si>
  <si>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</si>
  <si>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</si>
  <si>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</si>
  <si>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</si>
  <si>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</si>
  <si>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</si>
  <si>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</si>
  <si>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</si>
  <si>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</si>
  <si>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</si>
  <si>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</si>
  <si>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</si>
  <si>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</si>
  <si>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</si>
  <si>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</si>
  <si>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</si>
  <si>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</si>
  <si>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</si>
  <si>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</si>
  <si>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</si>
  <si>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</si>
  <si>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</si>
  <si>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</si>
  <si>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</si>
  <si>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</si>
  <si>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</si>
  <si>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</si>
  <si>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</si>
  <si>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</si>
  <si>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</si>
  <si>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</si>
  <si>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</si>
  <si>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</si>
  <si>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</si>
  <si>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</si>
  <si>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</si>
  <si>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</si>
  <si>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</si>
  <si>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</si>
  <si>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</si>
  <si>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</si>
  <si>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</si>
  <si>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</si>
  <si>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</si>
  <si>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</si>
  <si>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</si>
  <si>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</si>
  <si>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</si>
  <si>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</si>
  <si>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</si>
  <si>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</si>
  <si>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</si>
  <si>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</si>
  <si>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</si>
  <si>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</si>
  <si>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</si>
  <si>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</si>
  <si>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</si>
  <si>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</si>
  <si>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</si>
  <si>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</si>
  <si>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</si>
  <si>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</si>
  <si>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</si>
  <si>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</si>
  <si>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</si>
  <si>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</si>
  <si>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</si>
  <si>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</si>
  <si>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</si>
  <si>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</si>
  <si>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</si>
  <si>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</si>
  <si>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</si>
  <si>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</si>
  <si>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</si>
  <si>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</si>
  <si>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</si>
  <si>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</si>
  <si>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</si>
  <si>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</si>
  <si>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</si>
  <si>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</si>
  <si>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</si>
  <si>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</si>
  <si>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</si>
  <si>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</si>
  <si>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</si>
  <si>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</si>
  <si>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</si>
  <si>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</si>
  <si>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</si>
  <si>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</si>
  <si>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</si>
  <si>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</si>
  <si>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</si>
  <si>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</si>
  <si>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</si>
  <si>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</si>
  <si>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</si>
  <si>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</si>
  <si>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</si>
  <si>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</si>
  <si>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</si>
  <si>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</si>
  <si>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</si>
  <si>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</si>
  <si>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</si>
  <si>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</si>
  <si>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</si>
  <si>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</si>
  <si>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</si>
  <si>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</si>
  <si>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</si>
  <si>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</si>
  <si>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</si>
  <si>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</si>
  <si>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</si>
  <si>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</si>
  <si>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</si>
  <si>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</si>
  <si>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</si>
  <si>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</si>
  <si>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</si>
  <si>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</si>
  <si>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</si>
  <si>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</si>
  <si>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</si>
  <si>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</si>
  <si>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</si>
  <si>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</si>
  <si>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</si>
  <si>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</si>
  <si>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</si>
  <si>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</si>
  <si>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</si>
  <si>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</si>
  <si>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</si>
  <si>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</si>
  <si>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</si>
  <si>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</si>
  <si>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</si>
  <si>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</si>
  <si>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</si>
  <si>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</si>
  <si>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</si>
  <si>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</si>
  <si>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</si>
  <si>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</si>
  <si>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</si>
  <si>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</si>
  <si>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</si>
  <si>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</si>
  <si>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</si>
  <si>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</si>
  <si>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</si>
  <si>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</si>
  <si>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</si>
  <si>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</si>
  <si>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</si>
  <si>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</si>
  <si>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</si>
  <si>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</si>
  <si>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</si>
  <si>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</si>
  <si>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</si>
  <si>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</si>
  <si>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</si>
  <si>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</si>
  <si>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</si>
  <si>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</si>
  <si>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</si>
  <si>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</si>
  <si>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</si>
  <si>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</si>
  <si>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</si>
  <si>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</si>
  <si>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</si>
  <si>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</si>
  <si>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</si>
  <si>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</si>
  <si>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</si>
  <si>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</si>
  <si>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</si>
  <si>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</si>
  <si>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</si>
  <si>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</si>
  <si>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</si>
  <si>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</si>
  <si>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</si>
  <si>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</si>
  <si>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</si>
  <si>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</si>
  <si>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</si>
  <si>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</si>
  <si>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</si>
  <si>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</si>
  <si>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</si>
  <si>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</si>
  <si>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</si>
  <si>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</si>
  <si>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</si>
  <si>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</si>
  <si>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</si>
  <si>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</si>
  <si>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</si>
  <si>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</si>
  <si>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</si>
  <si>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</si>
  <si>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</si>
  <si>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</si>
  <si>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</si>
  <si>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</si>
  <si>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</si>
  <si>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</si>
  <si>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</si>
  <si>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</si>
  <si>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</si>
  <si>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</si>
  <si>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</si>
  <si>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</si>
  <si>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</si>
  <si>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</si>
  <si>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</si>
  <si>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</si>
  <si>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</si>
  <si>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</si>
  <si>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</si>
  <si>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</si>
  <si>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</si>
  <si>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</si>
  <si>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</si>
  <si>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</si>
  <si>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</si>
  <si>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</si>
  <si>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</si>
  <si>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</si>
  <si>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</si>
  <si>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</si>
  <si>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</si>
  <si>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</si>
  <si>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</si>
  <si>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</si>
  <si>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</si>
  <si>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</si>
  <si>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</si>
  <si>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</si>
  <si>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</si>
  <si>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</si>
  <si>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</si>
  <si>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</si>
  <si>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</si>
  <si>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</si>
  <si>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</si>
  <si>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</si>
  <si>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</si>
  <si>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</si>
  <si>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</si>
  <si>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</si>
  <si>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</si>
  <si>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</si>
  <si>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</si>
  <si>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</si>
  <si>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</si>
  <si>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</si>
  <si>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</si>
  <si>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</si>
  <si>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</si>
  <si>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</si>
  <si>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</si>
  <si>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</si>
  <si>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</si>
  <si>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</si>
  <si>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</si>
  <si>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</si>
  <si>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</si>
  <si>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</si>
  <si>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</si>
  <si>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</si>
  <si>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</si>
  <si>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</si>
  <si>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</si>
  <si>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</si>
  <si>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</si>
  <si>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</si>
  <si>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</si>
  <si>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</si>
  <si>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</si>
  <si>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</si>
  <si>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</si>
  <si>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</si>
  <si>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</si>
  <si>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</si>
  <si>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</si>
  <si>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</si>
  <si>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</si>
  <si>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</si>
  <si>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</si>
  <si>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</si>
  <si>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</si>
  <si>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</si>
  <si>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</si>
  <si>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</si>
  <si>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</si>
  <si>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</si>
  <si>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</si>
  <si>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</si>
  <si>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</si>
  <si>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</si>
  <si>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</si>
  <si>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</si>
  <si>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</si>
  <si>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</si>
  <si>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</si>
  <si>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</si>
  <si>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</si>
  <si>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</si>
  <si>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</si>
  <si>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</si>
  <si>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</si>
  <si>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</si>
  <si>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</si>
  <si>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</si>
  <si>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</si>
  <si>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</si>
  <si>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</si>
  <si>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</si>
  <si>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</si>
  <si>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</si>
  <si>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</si>
  <si>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</si>
  <si>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</si>
  <si>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</si>
  <si>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</si>
  <si>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</si>
  <si>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</si>
  <si>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</si>
  <si>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</si>
  <si>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</si>
  <si>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</si>
  <si>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</si>
  <si>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</si>
  <si>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</si>
  <si>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</si>
  <si>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</si>
  <si>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</si>
  <si>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</si>
  <si>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</si>
  <si>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</si>
  <si>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</si>
  <si>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</si>
  <si>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</si>
  <si>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</si>
  <si>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</si>
  <si>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</si>
  <si>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</si>
  <si>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</si>
  <si>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</si>
  <si>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</si>
  <si>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</si>
  <si>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</si>
  <si>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</si>
  <si>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</si>
  <si>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</si>
  <si>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</si>
  <si>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</si>
  <si>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</si>
  <si>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</si>
  <si>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</si>
  <si>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</si>
  <si>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</si>
  <si>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</si>
  <si>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</si>
  <si>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</si>
  <si>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</si>
  <si>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</si>
  <si>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</si>
  <si>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</si>
  <si>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</si>
  <si>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</si>
  <si>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</si>
  <si>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</si>
  <si>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</si>
  <si>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</si>
  <si>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</si>
  <si>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</si>
  <si>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</si>
  <si>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</si>
  <si>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</si>
  <si>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</si>
  <si>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</si>
  <si>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</si>
  <si>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</si>
  <si>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</si>
  <si>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</si>
  <si>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</si>
  <si>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</si>
  <si>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</si>
  <si>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</si>
  <si>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</si>
  <si>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</si>
  <si>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</si>
  <si>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</si>
  <si>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</si>
  <si>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</si>
  <si>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</si>
  <si>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</si>
  <si>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</si>
  <si>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</si>
  <si>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</si>
  <si>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</si>
  <si>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</si>
  <si>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</si>
  <si>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</si>
  <si>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</si>
  <si>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</si>
  <si>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</si>
  <si>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</si>
  <si>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</si>
  <si>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</si>
  <si>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</si>
  <si>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</si>
  <si>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</si>
  <si>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</si>
  <si>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</si>
  <si>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</si>
  <si>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</si>
  <si>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</si>
  <si>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</si>
  <si>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</si>
  <si>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</si>
  <si>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</si>
  <si>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</si>
  <si>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</si>
  <si>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</si>
  <si>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</si>
  <si>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</si>
  <si>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</si>
  <si>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</si>
  <si>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</si>
  <si>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</si>
  <si>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</si>
  <si>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</si>
  <si>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</si>
  <si>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</si>
  <si>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</si>
  <si>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</si>
  <si>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</si>
  <si>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</si>
  <si>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</si>
  <si>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</si>
  <si>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</si>
  <si>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</si>
  <si>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</si>
  <si>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</si>
  <si>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</si>
  <si>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</si>
  <si>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</si>
  <si>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</si>
  <si>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</si>
  <si>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</si>
  <si>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</si>
  <si>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</si>
  <si>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</si>
  <si>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</si>
  <si>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</si>
  <si>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</si>
  <si>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</si>
  <si>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</si>
  <si>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</si>
  <si>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</si>
  <si>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</si>
  <si>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</si>
  <si>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</si>
  <si>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</si>
  <si>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</si>
  <si>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</si>
  <si>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</si>
  <si>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</si>
  <si>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</si>
  <si>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</si>
  <si>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</si>
  <si>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</si>
  <si>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</si>
  <si>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</si>
  <si>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</si>
  <si>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</si>
  <si>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</si>
  <si>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</si>
  <si>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</si>
  <si>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</si>
  <si>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</si>
  <si>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</si>
  <si>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</si>
  <si>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</si>
  <si>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</si>
  <si>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</si>
  <si>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</si>
  <si>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</si>
  <si>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</si>
  <si>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</si>
  <si>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</si>
  <si>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</si>
  <si>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</si>
  <si>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</si>
  <si>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</si>
  <si>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</si>
  <si>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</si>
  <si>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</si>
  <si>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</si>
  <si>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</si>
  <si>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</si>
  <si>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</si>
  <si>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</si>
  <si>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</si>
  <si>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</si>
  <si>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</si>
  <si>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</si>
  <si>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</si>
  <si>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</si>
  <si>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</si>
  <si>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</si>
  <si>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</si>
  <si>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</si>
  <si>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</si>
  <si>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</si>
  <si>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</si>
  <si>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</si>
  <si>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</si>
  <si>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</si>
  <si>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</si>
  <si>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</si>
  <si>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</si>
  <si>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</si>
  <si>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</si>
  <si>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</si>
  <si>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</si>
  <si>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</si>
  <si>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</si>
  <si>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</si>
  <si>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</si>
  <si>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</si>
  <si>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</si>
  <si>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</si>
  <si>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</si>
  <si>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</si>
  <si>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</si>
  <si>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</si>
  <si>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</si>
  <si>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</si>
  <si>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</si>
  <si>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</si>
  <si>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</si>
  <si>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</si>
  <si>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</si>
  <si>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</si>
  <si>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</si>
  <si>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</si>
  <si>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</si>
  <si>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</si>
  <si>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</si>
  <si>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</si>
  <si>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</si>
  <si>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</si>
  <si>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</si>
  <si>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</si>
  <si>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</si>
  <si>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</si>
  <si>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</si>
  <si>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</si>
  <si>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</si>
  <si>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</si>
  <si>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</si>
  <si>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</si>
  <si>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</si>
  <si>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</si>
  <si>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</si>
  <si>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</si>
  <si>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</si>
  <si>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</si>
  <si>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</si>
  <si>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</si>
  <si>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</si>
  <si>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</si>
  <si>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</si>
  <si>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</si>
  <si>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</si>
  <si>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</si>
  <si>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</si>
  <si>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</si>
  <si>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</si>
  <si>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</si>
  <si>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</si>
  <si>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</si>
  <si>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</si>
  <si>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</si>
  <si>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</si>
  <si>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</si>
  <si>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</si>
  <si>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</si>
  <si>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</si>
  <si>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</si>
  <si>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</si>
  <si>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</si>
  <si>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</si>
  <si>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</si>
  <si>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</si>
  <si>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</si>
  <si>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</si>
  <si>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</si>
  <si>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</si>
  <si>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</si>
  <si>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</si>
  <si>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</si>
  <si>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</si>
  <si>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</si>
  <si>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</si>
  <si>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</si>
  <si>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</si>
  <si>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</si>
  <si>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</si>
  <si>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</si>
  <si>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</si>
  <si>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</si>
  <si>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</si>
  <si>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</si>
  <si>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</si>
  <si>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</si>
  <si>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</si>
  <si>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</si>
  <si>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</si>
  <si>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</si>
  <si>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</si>
  <si>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</si>
  <si>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</si>
  <si>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</si>
  <si>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</si>
  <si>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</si>
  <si>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</si>
  <si>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</si>
  <si>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</si>
  <si>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</si>
  <si>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</si>
  <si>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</si>
  <si>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</si>
  <si>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</si>
  <si>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</si>
  <si>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</si>
  <si>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</si>
  <si>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</si>
  <si>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</si>
  <si>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</si>
  <si>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</si>
  <si>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</si>
  <si>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</si>
  <si>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</si>
  <si>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</si>
  <si>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</si>
  <si>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</si>
  <si>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</si>
  <si>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</si>
  <si>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</si>
  <si>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</si>
  <si>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</si>
  <si>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</si>
  <si>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</si>
  <si>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</si>
  <si>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</si>
  <si>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</si>
  <si>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</si>
  <si>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</si>
  <si>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</si>
  <si>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</si>
  <si>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</si>
  <si>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</si>
  <si>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</si>
  <si>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</si>
  <si>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</si>
  <si>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</si>
  <si>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</si>
  <si>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</si>
  <si>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</si>
  <si>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</si>
  <si>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</si>
  <si>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</si>
  <si>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</si>
  <si>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</si>
  <si>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</si>
  <si>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</si>
  <si>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</si>
  <si>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</si>
  <si>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</si>
  <si>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</si>
  <si>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</si>
  <si>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</si>
  <si>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</si>
  <si>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</si>
  <si>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</si>
  <si>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</si>
  <si>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</si>
  <si>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</si>
  <si>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</si>
  <si>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</si>
  <si>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</si>
  <si>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</si>
  <si>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</si>
  <si>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</si>
  <si>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</si>
  <si>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</si>
  <si>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</si>
  <si>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</si>
  <si>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</si>
  <si>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</si>
  <si>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</si>
  <si>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</si>
  <si>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</si>
  <si>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</si>
  <si>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</si>
  <si>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</si>
  <si>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</si>
  <si>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</si>
  <si>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</si>
  <si>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</si>
  <si>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</si>
  <si>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</si>
  <si>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</si>
  <si>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</si>
  <si>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</si>
  <si>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</si>
  <si>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</si>
  <si>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</si>
  <si>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</si>
  <si>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</si>
  <si>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</si>
  <si>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</si>
  <si>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</si>
  <si>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</si>
  <si>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</si>
  <si>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</si>
  <si>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</si>
  <si>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</si>
  <si>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</si>
  <si>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</si>
  <si>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</si>
  <si>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</si>
  <si>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</si>
  <si>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</si>
  <si>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</si>
  <si>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</si>
  <si>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</si>
  <si>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</si>
  <si>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</si>
  <si>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</si>
  <si>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</si>
  <si>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</si>
  <si>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</si>
  <si>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</si>
  <si>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</si>
  <si>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</si>
  <si>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</si>
  <si>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</si>
  <si>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</si>
  <si>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</si>
  <si>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</si>
  <si>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</si>
  <si>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</si>
  <si>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</si>
  <si>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</si>
  <si>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</si>
  <si>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</si>
  <si>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</si>
  <si>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</si>
  <si>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</si>
  <si>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</si>
  <si>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</si>
  <si>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</si>
  <si>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</si>
  <si>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</si>
  <si>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</si>
  <si>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</si>
  <si>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</si>
  <si>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</si>
  <si>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</si>
  <si>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</si>
  <si>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</si>
  <si>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</si>
  <si>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</si>
  <si>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</si>
  <si>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</si>
  <si>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</si>
  <si>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</si>
  <si>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</si>
  <si>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</si>
  <si>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</si>
  <si>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</si>
  <si>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</si>
  <si>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</si>
  <si>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</si>
  <si>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</si>
  <si>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</si>
  <si>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</si>
  <si>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</si>
  <si>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</si>
  <si>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</si>
  <si>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</si>
  <si>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</si>
  <si>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</si>
  <si>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</si>
  <si>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</si>
  <si>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</si>
  <si>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</si>
  <si>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</si>
  <si>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</si>
  <si>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</si>
  <si>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</si>
  <si>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</si>
  <si>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</si>
  <si>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</si>
  <si>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</si>
  <si>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</si>
  <si>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</si>
  <si>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</si>
  <si>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</si>
  <si>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</si>
  <si>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</si>
  <si>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</si>
  <si>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</si>
  <si>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</si>
  <si>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</si>
  <si>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</si>
  <si>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</si>
  <si>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</si>
  <si>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</si>
  <si>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</si>
  <si>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</si>
  <si>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</si>
  <si>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</si>
  <si>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</si>
  <si>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</si>
  <si>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</si>
  <si>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</si>
  <si>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</si>
  <si>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</si>
  <si>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</si>
  <si>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</si>
  <si>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</si>
  <si>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</si>
  <si>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</si>
  <si>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</si>
  <si>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</si>
  <si>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</si>
  <si>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</si>
  <si>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</si>
  <si>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</si>
  <si>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</si>
  <si>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</si>
  <si>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</si>
  <si>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</si>
  <si>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</si>
  <si>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</si>
  <si>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</si>
  <si>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</si>
  <si>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</si>
  <si>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</si>
  <si>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</si>
  <si>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</si>
  <si>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</si>
  <si>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</si>
  <si>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</si>
  <si>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</si>
  <si>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</si>
  <si>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</si>
  <si>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</si>
  <si>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</si>
  <si>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</si>
  <si>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</si>
  <si>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</si>
  <si>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</si>
  <si>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</si>
  <si>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</si>
  <si>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</si>
  <si>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</si>
  <si>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</si>
  <si>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</si>
  <si>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</si>
  <si>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</si>
  <si>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</si>
  <si>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</si>
  <si>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</si>
  <si>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</si>
  <si>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</si>
  <si>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</si>
  <si>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</si>
  <si>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</si>
  <si>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</si>
  <si>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</si>
  <si>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</si>
  <si>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</si>
  <si>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</si>
  <si>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</si>
  <si>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</si>
  <si>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</si>
  <si>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</si>
  <si>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</si>
  <si>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</si>
  <si>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</si>
  <si>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</si>
  <si>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</si>
  <si>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</si>
  <si>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</si>
  <si>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</si>
  <si>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</si>
  <si>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</si>
  <si>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</si>
  <si>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</si>
  <si>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</si>
  <si>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</si>
  <si>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</si>
  <si>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</si>
  <si>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</si>
  <si>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</si>
  <si>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</si>
  <si>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</si>
  <si>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</si>
  <si>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</si>
  <si>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</si>
  <si>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</si>
  <si>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</si>
  <si>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</si>
  <si>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</si>
  <si>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</si>
  <si>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</si>
  <si>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</si>
  <si>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</si>
  <si>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</si>
  <si>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</si>
  <si>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</si>
  <si>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</si>
  <si>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</si>
  <si>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</si>
  <si>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</si>
  <si>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</si>
  <si>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</si>
  <si>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</si>
  <si>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</si>
  <si>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</si>
  <si>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</si>
  <si>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</si>
  <si>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</si>
  <si>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</si>
  <si>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</si>
  <si>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</si>
  <si>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</si>
  <si>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</si>
  <si>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</si>
  <si>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</si>
  <si>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</si>
  <si>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</si>
  <si>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</si>
  <si>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</si>
  <si>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</si>
  <si>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</si>
  <si>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</si>
  <si>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</si>
  <si>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</si>
  <si>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</si>
  <si>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</si>
  <si>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</si>
  <si>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</si>
  <si>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</si>
  <si>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</si>
  <si>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</si>
  <si>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</si>
  <si>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</si>
  <si>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</si>
  <si>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</si>
  <si>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</si>
  <si>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</si>
  <si>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</si>
  <si>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</si>
  <si>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</si>
  <si>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</si>
  <si>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</si>
  <si>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</si>
  <si>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</si>
  <si>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</si>
  <si>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</si>
  <si>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</si>
  <si>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</si>
  <si>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</si>
  <si>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</si>
  <si>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</si>
  <si>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</si>
  <si>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</si>
  <si>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</si>
  <si>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</si>
  <si>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</si>
  <si>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</si>
  <si>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</si>
  <si>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</si>
  <si>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</si>
  <si>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</si>
  <si>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</si>
  <si>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</si>
  <si>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</si>
  <si>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</si>
  <si>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</si>
  <si>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</si>
  <si>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</si>
  <si>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</si>
  <si>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</si>
  <si>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</si>
  <si>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</si>
  <si>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</si>
  <si>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</si>
  <si>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</si>
  <si>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</si>
  <si>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</si>
  <si>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</si>
  <si>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</si>
  <si>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</si>
  <si>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</si>
  <si>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</si>
  <si>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</si>
  <si>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</si>
  <si>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</si>
  <si>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</si>
  <si>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</si>
  <si>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</si>
  <si>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</si>
  <si>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</si>
  <si>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</si>
  <si>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</si>
  <si>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</si>
  <si>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</si>
  <si>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</si>
  <si>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</si>
  <si>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</si>
  <si>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</si>
  <si>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</si>
  <si>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</si>
  <si>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</si>
  <si>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</si>
  <si>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</si>
  <si>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</si>
  <si>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</si>
  <si>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</si>
  <si>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</si>
  <si>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</si>
  <si>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</si>
  <si>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</si>
  <si>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</si>
  <si>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</si>
  <si>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</si>
  <si>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</si>
  <si>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</si>
  <si>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</si>
  <si>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</si>
  <si>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</si>
  <si>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</si>
  <si>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</si>
  <si>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</si>
  <si>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</si>
  <si>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</si>
  <si>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</si>
  <si>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</si>
  <si>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</si>
  <si>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</si>
  <si>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</si>
  <si>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</si>
  <si>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</si>
  <si>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</si>
  <si>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</si>
  <si>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</si>
  <si>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</si>
  <si>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</si>
  <si>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</si>
  <si>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</si>
  <si>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</si>
  <si>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</si>
  <si>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</si>
  <si>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</si>
  <si>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</si>
  <si>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</si>
  <si>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</si>
  <si>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</si>
  <si>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</si>
  <si>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</si>
  <si>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</si>
  <si>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</si>
  <si>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</si>
  <si>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</si>
  <si>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</si>
  <si>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</si>
  <si>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</si>
  <si>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</si>
  <si>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</si>
  <si>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</si>
  <si>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</si>
  <si>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</si>
  <si>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</si>
  <si>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</si>
  <si>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</si>
  <si>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</si>
  <si>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</si>
  <si>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</si>
  <si>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</si>
  <si>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</si>
  <si>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</si>
  <si>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</si>
  <si>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</si>
  <si>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</si>
  <si>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</si>
  <si>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</si>
  <si>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</si>
  <si>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</si>
  <si>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</si>
  <si>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</si>
  <si>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</si>
  <si>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</si>
  <si>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</si>
  <si>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</si>
  <si>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</si>
  <si>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</si>
  <si>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</si>
  <si>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</si>
  <si>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</si>
  <si>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</si>
  <si>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</si>
  <si>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</si>
  <si>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</si>
  <si>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</si>
  <si>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</si>
  <si>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</si>
  <si>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</si>
  <si>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</si>
  <si>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</si>
  <si>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</si>
  <si>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</si>
  <si>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</si>
  <si>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</si>
  <si>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</si>
  <si>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</si>
  <si>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</si>
  <si>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</si>
  <si>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</si>
  <si>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</si>
  <si>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</si>
  <si>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</si>
  <si>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</si>
  <si>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</si>
  <si>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</si>
  <si>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</si>
  <si>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</si>
  <si>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</si>
  <si>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</si>
  <si>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</si>
  <si>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</si>
  <si>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</si>
  <si>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</si>
  <si>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</si>
  <si>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</si>
  <si>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</si>
  <si>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</si>
  <si>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</si>
  <si>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</si>
  <si>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</si>
  <si>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</si>
  <si>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</si>
  <si>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</si>
  <si>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</si>
  <si>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</si>
  <si>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</si>
  <si>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</si>
  <si>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</si>
  <si>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</si>
  <si>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</si>
  <si>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</si>
  <si>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</si>
  <si>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</si>
  <si>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</si>
  <si>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</si>
  <si>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</si>
  <si>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</si>
  <si>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</si>
  <si>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</si>
  <si>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</si>
  <si>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</si>
  <si>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</si>
  <si>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</si>
  <si>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</si>
  <si>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</si>
  <si>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</si>
  <si>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</si>
  <si>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</si>
  <si>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</si>
  <si>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</si>
  <si>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</si>
  <si>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</si>
  <si>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</si>
  <si>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</si>
  <si>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</si>
  <si>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</si>
  <si>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</si>
  <si>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</si>
  <si>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</si>
  <si>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</si>
  <si>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</si>
  <si>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</si>
  <si>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</si>
  <si>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</si>
  <si>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</si>
  <si>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</si>
  <si>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</si>
  <si>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</si>
  <si>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</si>
  <si>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</si>
  <si>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</si>
  <si>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</si>
  <si>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</si>
  <si>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</si>
  <si>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</si>
  <si>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</si>
  <si>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</si>
  <si>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</si>
  <si>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</si>
  <si>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</si>
  <si>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</si>
  <si>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</si>
  <si>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</si>
  <si>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</si>
  <si>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</si>
  <si>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</si>
  <si>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</si>
  <si>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</si>
  <si>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</si>
  <si>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</si>
  <si>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</si>
  <si>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</si>
  <si>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</si>
  <si>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</si>
  <si>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</si>
  <si>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</si>
  <si>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</si>
  <si>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</si>
  <si>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</si>
  <si>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</si>
  <si>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</si>
  <si>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</si>
  <si>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</si>
  <si>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</si>
  <si>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</si>
  <si>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</si>
  <si>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</si>
  <si>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</si>
  <si>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</si>
  <si>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</si>
  <si>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</si>
  <si>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</si>
  <si>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</si>
  <si>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</si>
  <si>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</si>
  <si>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</si>
  <si>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</si>
  <si>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</si>
  <si>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</si>
  <si>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</si>
  <si>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</si>
  <si>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</si>
  <si>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</si>
  <si>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</si>
  <si>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</si>
  <si>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</si>
  <si>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</si>
  <si>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</si>
  <si>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</si>
  <si>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</si>
  <si>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</si>
  <si>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</si>
  <si>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</si>
  <si>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</si>
  <si>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</si>
  <si>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</si>
  <si>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</si>
  <si>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</si>
  <si>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</si>
  <si>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</si>
  <si>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</si>
  <si>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</si>
  <si>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</si>
  <si>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</si>
  <si>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</si>
  <si>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</si>
  <si>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</si>
  <si>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</si>
  <si>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</si>
  <si>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</si>
  <si>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</si>
  <si>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</si>
  <si>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</si>
  <si>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</si>
  <si>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</si>
  <si>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</si>
  <si>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</si>
  <si>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</si>
  <si>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</si>
  <si>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</si>
  <si>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</si>
  <si>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</si>
  <si>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</si>
  <si>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</si>
  <si>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</si>
  <si>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</si>
  <si>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</si>
  <si>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</si>
  <si>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</si>
  <si>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</si>
  <si>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</si>
  <si>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</si>
  <si>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</si>
  <si>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</si>
  <si>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</si>
  <si>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</si>
  <si>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</si>
  <si>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</si>
  <si>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</si>
  <si>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</si>
  <si>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</si>
  <si>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</si>
  <si>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</si>
  <si>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</si>
  <si>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</si>
  <si>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</si>
  <si>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</si>
  <si>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</si>
  <si>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</si>
  <si>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</si>
  <si>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</si>
  <si>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</si>
  <si>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</si>
  <si>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</si>
  <si>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</si>
  <si>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</si>
  <si>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</si>
  <si>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</si>
  <si>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</si>
  <si>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</si>
  <si>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</si>
  <si>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</si>
  <si>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</si>
  <si>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</si>
  <si>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</si>
  <si>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</si>
  <si>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</si>
  <si>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</si>
  <si>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</si>
  <si>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</si>
  <si>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</si>
  <si>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</si>
  <si>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</si>
  <si>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</si>
  <si>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</si>
  <si>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</si>
  <si>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</si>
  <si>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</si>
  <si>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</si>
  <si>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</si>
  <si>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</si>
  <si>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</si>
  <si>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</si>
  <si>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</si>
  <si>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</si>
  <si>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</si>
  <si>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</si>
  <si>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</si>
  <si>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</si>
  <si>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</si>
  <si>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</si>
  <si>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</si>
  <si>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</si>
  <si>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</si>
  <si>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</si>
  <si>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</si>
  <si>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</si>
  <si>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</si>
  <si>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</si>
  <si>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</si>
  <si>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</si>
  <si>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</si>
  <si>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</si>
  <si>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</si>
  <si>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</si>
  <si>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</si>
  <si>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</si>
  <si>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</si>
  <si>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</si>
  <si>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</si>
  <si>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</si>
  <si>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</si>
  <si>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</si>
  <si>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</si>
  <si>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</si>
  <si>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</si>
  <si>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</si>
  <si>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</si>
  <si>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</si>
  <si>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</si>
  <si>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</si>
  <si>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</si>
  <si>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</si>
  <si>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</si>
  <si>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</si>
  <si>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</si>
  <si>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</si>
  <si>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</si>
  <si>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</si>
  <si>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</si>
  <si>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</si>
  <si>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</si>
  <si>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</si>
  <si>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</si>
  <si>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</si>
  <si>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</si>
  <si>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</si>
  <si>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</si>
  <si>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</si>
  <si>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</si>
  <si>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</si>
  <si>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</si>
  <si>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</si>
  <si>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</si>
  <si>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</si>
  <si>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</si>
  <si>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</si>
  <si>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</si>
  <si>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</si>
  <si>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</si>
  <si>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</si>
  <si>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</si>
  <si>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</si>
  <si>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</si>
  <si>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</si>
  <si>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</si>
  <si>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</si>
  <si>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</si>
  <si>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</si>
  <si>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</si>
  <si>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</si>
  <si>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</si>
  <si>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</si>
  <si>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</si>
  <si>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</si>
  <si>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</si>
  <si>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</si>
  <si>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</si>
  <si>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</si>
  <si>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</si>
  <si>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</si>
  <si>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</si>
  <si>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</si>
  <si>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</si>
  <si>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</si>
  <si>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</si>
  <si>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</si>
  <si>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</si>
  <si>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</si>
  <si>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</si>
  <si>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</si>
  <si>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</si>
  <si>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</si>
  <si>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</si>
  <si>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</si>
  <si>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</si>
  <si>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</si>
  <si>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</si>
  <si>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</si>
  <si>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Solder Wire, Tin Plated PCB, Tin Plated Terminals and Pins</t>
  </si>
  <si>
    <t>Solder Wire</t>
  </si>
  <si>
    <t>Tin Plated PCB</t>
  </si>
  <si>
    <t>Gold Plated Springs</t>
  </si>
  <si>
    <t>Challenge Electronics</t>
  </si>
  <si>
    <t>All products supplied by Challenge Electronics, to the best of our knowledge, conform to the following.</t>
  </si>
  <si>
    <t>15-7725524</t>
  </si>
  <si>
    <t>Dun &amp; Bradstreet</t>
  </si>
  <si>
    <t>95 East Jefryn Blvd; Deer Park, NY 11729</t>
  </si>
  <si>
    <t>Joshua Klyman</t>
  </si>
  <si>
    <t>jklyman@challelec.com</t>
  </si>
  <si>
    <t>16315952217</t>
  </si>
  <si>
    <t>Engineering Director</t>
  </si>
  <si>
    <t>https://challengeelectronics.com/engineering/quality-management/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</si>
</sst>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3162300</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715375" y="215900"/>
          <a:ext cx="904875" cy="8591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9582151</xdr:colOff>
      <xdr:row>0</xdr:row>
      <xdr:rowOff>0</xdr:rowOff>
    </xdr:from>
    <xdr:to>
      <xdr:col>1</xdr:col>
      <xdr:colOff>1</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82151" y="0"/>
          <a:ext cx="131445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039350" y="180181"/>
          <a:ext cx="847725"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659880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klyman@challele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hallengeelectronics.com/engineering/quality-management/" TargetMode="External"/><Relationship Id="rId4" Type="http://schemas.openxmlformats.org/officeDocument/2006/relationships/hyperlink" Target="mailto:jklyman@challele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abSelected="1"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4"/>
      <c r="B2" s="38" t="s">
        <v>847</v>
      </c>
      <c r="C2" s="36"/>
      <c r="D2" s="206"/>
      <c r="E2" s="3"/>
      <c r="F2" s="36"/>
      <c r="G2" s="34"/>
    </row>
    <row r="3" spans="1:7">
      <c r="A3" s="354"/>
      <c r="B3" s="5" t="s">
        <v>839</v>
      </c>
      <c r="C3" s="6"/>
      <c r="D3" s="207"/>
      <c r="E3" s="3"/>
      <c r="F3" s="6"/>
      <c r="G3" s="34"/>
    </row>
    <row r="4" spans="1:7" ht="15.75">
      <c r="A4" s="354"/>
      <c r="B4" s="41" t="s">
        <v>849</v>
      </c>
      <c r="C4" s="7"/>
      <c r="D4" s="208"/>
      <c r="E4" s="3"/>
      <c r="F4" s="7"/>
      <c r="G4" s="34"/>
    </row>
    <row r="5" spans="1:7">
      <c r="A5" s="354"/>
      <c r="B5" s="40" t="s">
        <v>1040</v>
      </c>
      <c r="C5" s="4"/>
      <c r="D5" s="209"/>
      <c r="E5" s="3"/>
      <c r="F5" s="4"/>
      <c r="G5" s="34"/>
    </row>
    <row r="6" spans="1:7">
      <c r="A6" s="354"/>
      <c r="B6" s="8"/>
      <c r="C6" s="8"/>
      <c r="D6" s="210"/>
      <c r="E6" s="8"/>
      <c r="F6" s="8"/>
      <c r="G6" s="34"/>
    </row>
    <row r="7" spans="1:7">
      <c r="A7" s="354"/>
      <c r="B7" s="8"/>
      <c r="C7" s="8"/>
      <c r="D7" s="210"/>
      <c r="E7" s="8"/>
      <c r="F7" s="8"/>
      <c r="G7" s="34"/>
    </row>
    <row r="8" spans="1:7">
      <c r="A8" s="354"/>
      <c r="B8" s="8"/>
      <c r="C8" s="8"/>
      <c r="D8" s="210"/>
      <c r="E8" s="8"/>
      <c r="F8" s="8"/>
      <c r="G8" s="34"/>
    </row>
    <row r="9" spans="1:7">
      <c r="A9" s="354"/>
      <c r="B9" s="357" t="s">
        <v>850</v>
      </c>
      <c r="C9" s="357"/>
      <c r="D9" s="357"/>
      <c r="E9" s="357"/>
      <c r="F9" s="357"/>
      <c r="G9" s="34"/>
    </row>
    <row r="10" spans="1:7" ht="27" customHeight="1">
      <c r="A10" s="354"/>
      <c r="B10" s="358" t="s">
        <v>438</v>
      </c>
      <c r="C10" s="358"/>
      <c r="D10" s="358"/>
      <c r="E10" s="358"/>
      <c r="F10" s="358"/>
      <c r="G10" s="34"/>
    </row>
    <row r="11" spans="1:7" ht="27" customHeight="1">
      <c r="A11" s="354"/>
      <c r="B11" s="359"/>
      <c r="C11" s="359"/>
      <c r="D11" s="359"/>
      <c r="E11" s="359"/>
      <c r="F11" s="359"/>
      <c r="G11" s="34"/>
    </row>
    <row r="12" spans="1:7">
      <c r="A12" s="354"/>
      <c r="B12" s="42" t="s">
        <v>848</v>
      </c>
      <c r="C12" s="43" t="s">
        <v>851</v>
      </c>
      <c r="D12" s="211" t="s">
        <v>852</v>
      </c>
      <c r="E12" s="43" t="s">
        <v>612</v>
      </c>
      <c r="F12" s="43" t="s">
        <v>613</v>
      </c>
      <c r="G12" s="34"/>
    </row>
    <row r="13" spans="1:7" ht="33.75">
      <c r="A13" s="354"/>
      <c r="B13" s="2">
        <v>1</v>
      </c>
      <c r="C13" s="37" t="s">
        <v>1088</v>
      </c>
      <c r="D13" s="39" t="s">
        <v>876</v>
      </c>
      <c r="E13" s="194" t="s">
        <v>853</v>
      </c>
      <c r="F13" s="194"/>
      <c r="G13" s="34"/>
    </row>
    <row r="14" spans="1:7" ht="33.75">
      <c r="A14" s="354"/>
      <c r="B14" s="2">
        <v>2</v>
      </c>
      <c r="C14" s="37" t="s">
        <v>1088</v>
      </c>
      <c r="D14" s="39" t="s">
        <v>1025</v>
      </c>
      <c r="E14" s="194" t="s">
        <v>530</v>
      </c>
      <c r="F14" s="194" t="s">
        <v>531</v>
      </c>
      <c r="G14" s="34"/>
    </row>
    <row r="15" spans="1:7" ht="89.1" customHeight="1">
      <c r="A15" s="354"/>
      <c r="B15" s="360">
        <v>2.0099999999999998</v>
      </c>
      <c r="C15" s="363" t="s">
        <v>1088</v>
      </c>
      <c r="D15" s="366" t="s">
        <v>2265</v>
      </c>
      <c r="E15" s="195" t="s">
        <v>614</v>
      </c>
      <c r="F15" s="195" t="s">
        <v>617</v>
      </c>
      <c r="G15" s="34"/>
    </row>
    <row r="16" spans="1:7" ht="99" customHeight="1">
      <c r="A16" s="354"/>
      <c r="B16" s="361"/>
      <c r="C16" s="364"/>
      <c r="D16" s="367"/>
      <c r="E16" s="196"/>
      <c r="F16" s="196" t="s">
        <v>615</v>
      </c>
      <c r="G16" s="34"/>
    </row>
    <row r="17" spans="1:7" ht="63" customHeight="1">
      <c r="A17" s="354"/>
      <c r="B17" s="362"/>
      <c r="C17" s="365"/>
      <c r="D17" s="368"/>
      <c r="E17" s="37"/>
      <c r="F17" s="37" t="s">
        <v>616</v>
      </c>
      <c r="G17" s="34"/>
    </row>
    <row r="18" spans="1:7" ht="117" customHeight="1">
      <c r="A18" s="354"/>
      <c r="B18" s="360">
        <v>2.02</v>
      </c>
      <c r="C18" s="363" t="s">
        <v>1088</v>
      </c>
      <c r="D18" s="366" t="s">
        <v>2266</v>
      </c>
      <c r="E18" s="195" t="s">
        <v>439</v>
      </c>
      <c r="F18" s="195" t="s">
        <v>525</v>
      </c>
      <c r="G18" s="34"/>
    </row>
    <row r="19" spans="1:7" ht="71.099999999999994" customHeight="1">
      <c r="A19" s="354"/>
      <c r="B19" s="361"/>
      <c r="C19" s="364"/>
      <c r="D19" s="367"/>
      <c r="E19" s="196" t="s">
        <v>529</v>
      </c>
      <c r="F19" s="196" t="s">
        <v>440</v>
      </c>
      <c r="G19" s="34"/>
    </row>
    <row r="20" spans="1:7" ht="90.75" customHeight="1">
      <c r="A20" s="354"/>
      <c r="B20" s="361"/>
      <c r="C20" s="364"/>
      <c r="D20" s="367"/>
      <c r="E20" s="196"/>
      <c r="F20" s="196" t="s">
        <v>619</v>
      </c>
      <c r="G20" s="34"/>
    </row>
    <row r="21" spans="1:7" ht="74.25" customHeight="1">
      <c r="A21" s="354"/>
      <c r="B21" s="362"/>
      <c r="C21" s="365"/>
      <c r="D21" s="368"/>
      <c r="E21" s="37"/>
      <c r="F21" s="37" t="s">
        <v>618</v>
      </c>
      <c r="G21" s="34"/>
    </row>
    <row r="22" spans="1:7" ht="90" customHeight="1">
      <c r="A22" s="354"/>
      <c r="B22" s="372">
        <v>2.0299999999999998</v>
      </c>
      <c r="C22" s="372" t="s">
        <v>822</v>
      </c>
      <c r="D22" s="375" t="s">
        <v>2267</v>
      </c>
      <c r="E22" s="363" t="s">
        <v>437</v>
      </c>
      <c r="F22" s="195" t="s">
        <v>460</v>
      </c>
      <c r="G22" s="34"/>
    </row>
    <row r="23" spans="1:7" ht="109.5" customHeight="1">
      <c r="A23" s="354"/>
      <c r="B23" s="373"/>
      <c r="C23" s="373"/>
      <c r="D23" s="376"/>
      <c r="E23" s="364"/>
      <c r="F23" s="196" t="s">
        <v>823</v>
      </c>
      <c r="G23" s="34"/>
    </row>
    <row r="24" spans="1:7" ht="74.25" customHeight="1">
      <c r="A24" s="354"/>
      <c r="B24" s="374"/>
      <c r="C24" s="374"/>
      <c r="D24" s="377"/>
      <c r="E24" s="365"/>
      <c r="F24" s="37" t="s">
        <v>436</v>
      </c>
      <c r="G24" s="34"/>
    </row>
    <row r="25" spans="1:7" ht="72" customHeight="1">
      <c r="A25" s="354"/>
      <c r="B25" s="2" t="s">
        <v>458</v>
      </c>
      <c r="C25" s="37" t="s">
        <v>459</v>
      </c>
      <c r="D25" s="39" t="s">
        <v>2268</v>
      </c>
      <c r="E25" s="37" t="s">
        <v>2263</v>
      </c>
      <c r="F25" s="37" t="s">
        <v>461</v>
      </c>
      <c r="G25" s="34"/>
    </row>
    <row r="26" spans="1:7" ht="98.1" customHeight="1">
      <c r="A26" s="354"/>
      <c r="B26" s="369">
        <v>3</v>
      </c>
      <c r="C26" s="360" t="s">
        <v>70</v>
      </c>
      <c r="D26" s="366" t="s">
        <v>2269</v>
      </c>
      <c r="E26" s="363" t="s">
        <v>0</v>
      </c>
      <c r="F26" s="195" t="s">
        <v>64</v>
      </c>
      <c r="G26" s="34"/>
    </row>
    <row r="27" spans="1:7" ht="90" customHeight="1">
      <c r="A27" s="354"/>
      <c r="B27" s="370"/>
      <c r="C27" s="361"/>
      <c r="D27" s="367"/>
      <c r="E27" s="364"/>
      <c r="F27" s="196" t="s">
        <v>59</v>
      </c>
      <c r="G27" s="34"/>
    </row>
    <row r="28" spans="1:7" ht="19.350000000000001" customHeight="1">
      <c r="A28" s="354"/>
      <c r="B28" s="370"/>
      <c r="C28" s="361"/>
      <c r="D28" s="367"/>
      <c r="E28" s="364"/>
      <c r="F28" s="196" t="s">
        <v>60</v>
      </c>
      <c r="G28" s="34"/>
    </row>
    <row r="29" spans="1:7" ht="74.45" customHeight="1">
      <c r="A29" s="354"/>
      <c r="B29" s="370"/>
      <c r="C29" s="361"/>
      <c r="D29" s="367"/>
      <c r="E29" s="364"/>
      <c r="F29" s="196" t="s">
        <v>61</v>
      </c>
      <c r="G29" s="34"/>
    </row>
    <row r="30" spans="1:7" ht="62.45" customHeight="1">
      <c r="A30" s="354"/>
      <c r="B30" s="370"/>
      <c r="C30" s="361"/>
      <c r="D30" s="367"/>
      <c r="E30" s="364"/>
      <c r="F30" s="196" t="s">
        <v>62</v>
      </c>
      <c r="G30" s="34"/>
    </row>
    <row r="31" spans="1:7" ht="81" customHeight="1">
      <c r="A31" s="354"/>
      <c r="B31" s="370"/>
      <c r="C31" s="361"/>
      <c r="D31" s="367"/>
      <c r="E31" s="364"/>
      <c r="F31" s="196" t="s">
        <v>63</v>
      </c>
      <c r="G31" s="34"/>
    </row>
    <row r="32" spans="1:7" ht="48.75" customHeight="1">
      <c r="A32" s="354"/>
      <c r="B32" s="370"/>
      <c r="C32" s="361"/>
      <c r="D32" s="367"/>
      <c r="E32" s="364"/>
      <c r="F32" s="196" t="s">
        <v>66</v>
      </c>
      <c r="G32" s="34"/>
    </row>
    <row r="33" spans="1:7" ht="98.45" customHeight="1">
      <c r="A33" s="354"/>
      <c r="B33" s="370"/>
      <c r="C33" s="361"/>
      <c r="D33" s="367"/>
      <c r="E33" s="364"/>
      <c r="F33" s="196" t="s">
        <v>65</v>
      </c>
      <c r="G33" s="34"/>
    </row>
    <row r="34" spans="1:7" ht="89.1" customHeight="1">
      <c r="A34" s="354"/>
      <c r="B34" s="370"/>
      <c r="C34" s="361"/>
      <c r="D34" s="367"/>
      <c r="E34" s="364"/>
      <c r="F34" s="196" t="s">
        <v>67</v>
      </c>
      <c r="G34" s="34"/>
    </row>
    <row r="35" spans="1:7" ht="29.1" customHeight="1">
      <c r="A35" s="354"/>
      <c r="B35" s="370"/>
      <c r="C35" s="361"/>
      <c r="D35" s="367"/>
      <c r="E35" s="364"/>
      <c r="F35" s="196" t="s">
        <v>68</v>
      </c>
      <c r="G35" s="34"/>
    </row>
    <row r="36" spans="1:7" ht="126.75">
      <c r="A36" s="354"/>
      <c r="B36" s="371"/>
      <c r="C36" s="362"/>
      <c r="D36" s="368"/>
      <c r="E36" s="365"/>
      <c r="F36" s="197" t="s">
        <v>69</v>
      </c>
      <c r="G36" s="34"/>
    </row>
    <row r="37" spans="1:7" ht="112.5">
      <c r="A37" s="354"/>
      <c r="B37" s="170">
        <v>3.01</v>
      </c>
      <c r="C37" s="171" t="s">
        <v>70</v>
      </c>
      <c r="D37" s="39" t="s">
        <v>2270</v>
      </c>
      <c r="E37" s="198" t="s">
        <v>1328</v>
      </c>
      <c r="F37" s="199" t="s">
        <v>1434</v>
      </c>
      <c r="G37" s="34"/>
    </row>
    <row r="38" spans="1:7" ht="101.25">
      <c r="A38" s="354"/>
      <c r="B38" s="170">
        <v>3.02</v>
      </c>
      <c r="C38" s="171" t="s">
        <v>1361</v>
      </c>
      <c r="D38" s="39" t="s">
        <v>2271</v>
      </c>
      <c r="E38" s="198" t="s">
        <v>1376</v>
      </c>
      <c r="F38" s="199" t="s">
        <v>1435</v>
      </c>
      <c r="G38" s="34"/>
    </row>
    <row r="39" spans="1:7" ht="101.25">
      <c r="A39" s="354"/>
      <c r="B39" s="180">
        <v>4</v>
      </c>
      <c r="C39" s="179" t="s">
        <v>1531</v>
      </c>
      <c r="D39" s="39" t="s">
        <v>2272</v>
      </c>
      <c r="E39" s="37" t="s">
        <v>2215</v>
      </c>
      <c r="F39" s="37" t="s">
        <v>1532</v>
      </c>
      <c r="G39" s="34"/>
    </row>
    <row r="40" spans="1:7" ht="56.25">
      <c r="A40" s="354"/>
      <c r="B40" s="170">
        <v>4.01</v>
      </c>
      <c r="C40" s="179" t="s">
        <v>1531</v>
      </c>
      <c r="D40" s="39" t="s">
        <v>2274</v>
      </c>
      <c r="E40" s="37" t="s">
        <v>2229</v>
      </c>
      <c r="F40" s="37" t="s">
        <v>2233</v>
      </c>
      <c r="G40" s="34"/>
    </row>
    <row r="41" spans="1:7" ht="56.25">
      <c r="A41" s="354"/>
      <c r="B41" s="170" t="s">
        <v>2261</v>
      </c>
      <c r="C41" s="179" t="s">
        <v>1531</v>
      </c>
      <c r="D41" s="39" t="s">
        <v>2273</v>
      </c>
      <c r="E41" s="37" t="s">
        <v>2264</v>
      </c>
      <c r="F41" s="37" t="s">
        <v>2262</v>
      </c>
      <c r="G41" s="34"/>
    </row>
    <row r="42" spans="1:7" ht="56.25">
      <c r="A42" s="354"/>
      <c r="B42" s="170" t="s">
        <v>2299</v>
      </c>
      <c r="C42" s="179" t="s">
        <v>1531</v>
      </c>
      <c r="D42" s="39" t="s">
        <v>2306</v>
      </c>
      <c r="E42" s="37" t="s">
        <v>2263</v>
      </c>
      <c r="F42" s="37" t="s">
        <v>2300</v>
      </c>
      <c r="G42" s="34"/>
    </row>
    <row r="43" spans="1:7" ht="123.75">
      <c r="A43" s="354"/>
      <c r="B43" s="191">
        <v>4.0999999999999996</v>
      </c>
      <c r="C43" s="179" t="s">
        <v>2305</v>
      </c>
      <c r="D43" s="192">
        <v>42867</v>
      </c>
      <c r="E43" s="200" t="s">
        <v>2308</v>
      </c>
      <c r="F43" s="37" t="s">
        <v>2307</v>
      </c>
      <c r="G43" s="34"/>
    </row>
    <row r="44" spans="1:7" ht="78.75">
      <c r="A44" s="354"/>
      <c r="B44" s="191">
        <v>4.2</v>
      </c>
      <c r="C44" s="179" t="s">
        <v>2305</v>
      </c>
      <c r="D44" s="192">
        <v>42704</v>
      </c>
      <c r="E44" s="200" t="s">
        <v>2510</v>
      </c>
      <c r="F44" s="37" t="s">
        <v>2485</v>
      </c>
      <c r="G44" s="34"/>
    </row>
    <row r="45" spans="1:7" ht="157.5">
      <c r="A45" s="354"/>
      <c r="B45" s="240">
        <v>5</v>
      </c>
      <c r="C45" s="179" t="s">
        <v>2305</v>
      </c>
      <c r="D45" s="192">
        <v>42867</v>
      </c>
      <c r="E45" s="200" t="s">
        <v>12917</v>
      </c>
      <c r="F45" s="37" t="s">
        <v>12639</v>
      </c>
      <c r="G45" s="34"/>
    </row>
    <row r="46" spans="1:7" ht="45">
      <c r="A46" s="354"/>
      <c r="B46" s="191">
        <v>5.01</v>
      </c>
      <c r="C46" s="179" t="s">
        <v>2305</v>
      </c>
      <c r="D46" s="192">
        <v>42907</v>
      </c>
      <c r="E46" s="200" t="s">
        <v>12935</v>
      </c>
      <c r="F46" s="37" t="s">
        <v>12639</v>
      </c>
      <c r="G46" s="34"/>
    </row>
    <row r="47" spans="1:7" ht="67.5">
      <c r="A47" s="354"/>
      <c r="B47" s="191">
        <v>5.0999999999999996</v>
      </c>
      <c r="C47" s="179" t="s">
        <v>2305</v>
      </c>
      <c r="D47" s="192">
        <v>43070</v>
      </c>
      <c r="E47" s="200" t="s">
        <v>13129</v>
      </c>
      <c r="F47" s="37" t="s">
        <v>13130</v>
      </c>
      <c r="G47" s="34"/>
    </row>
    <row r="48" spans="1:7" ht="56.25">
      <c r="A48" s="354"/>
      <c r="B48" s="191">
        <v>5.1100000000000003</v>
      </c>
      <c r="C48" s="179" t="s">
        <v>13371</v>
      </c>
      <c r="D48" s="192">
        <v>43217</v>
      </c>
      <c r="E48" s="200" t="s">
        <v>13499</v>
      </c>
      <c r="F48" s="37" t="s">
        <v>13405</v>
      </c>
      <c r="G48" s="34"/>
    </row>
    <row r="49" spans="1:7" ht="56.25">
      <c r="A49" s="354"/>
      <c r="B49" s="191">
        <v>5.12</v>
      </c>
      <c r="C49" s="179" t="s">
        <v>13371</v>
      </c>
      <c r="D49" s="192">
        <v>43581</v>
      </c>
      <c r="E49" s="200" t="s">
        <v>13499</v>
      </c>
      <c r="F49" s="37" t="s">
        <v>14064</v>
      </c>
      <c r="G49" s="34"/>
    </row>
    <row r="50" spans="1:7" ht="78.75">
      <c r="A50" s="354"/>
      <c r="B50" s="240">
        <v>6</v>
      </c>
      <c r="C50" s="179" t="s">
        <v>13371</v>
      </c>
      <c r="D50" s="192">
        <v>43964</v>
      </c>
      <c r="E50" s="200" t="s">
        <v>14291</v>
      </c>
      <c r="F50" s="37" t="s">
        <v>14074</v>
      </c>
      <c r="G50" s="34"/>
    </row>
    <row r="51" spans="1:7" ht="45">
      <c r="A51" s="354"/>
      <c r="B51" s="191">
        <v>6.01</v>
      </c>
      <c r="C51" s="179" t="s">
        <v>13371</v>
      </c>
      <c r="D51" s="192">
        <v>43970</v>
      </c>
      <c r="E51" s="200" t="s">
        <v>15309</v>
      </c>
      <c r="F51" s="200" t="s">
        <v>14074</v>
      </c>
      <c r="G51" s="34"/>
    </row>
    <row r="52" spans="1:7" ht="45">
      <c r="A52" s="354"/>
      <c r="B52" s="191">
        <v>6.1</v>
      </c>
      <c r="C52" s="179" t="s">
        <v>13371</v>
      </c>
      <c r="D52" s="192">
        <v>44314</v>
      </c>
      <c r="E52" s="200" t="s">
        <v>15314</v>
      </c>
      <c r="F52" s="200" t="s">
        <v>15319</v>
      </c>
      <c r="G52" s="34"/>
    </row>
    <row r="53" spans="1:7" ht="13.5" thickBot="1">
      <c r="A53" s="355"/>
      <c r="B53" s="356" t="str">
        <f ca="1">OFFSET(L!$C$1,MATCH("General"&amp;"Cpy",L!$A:$A,0)-1,SL,,)</f>
        <v>© 2021 Responsible Minerals Initiative. All rights reserved.</v>
      </c>
      <c r="C53" s="356"/>
      <c r="D53" s="356"/>
      <c r="E53" s="356"/>
      <c r="F53" s="356"/>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H3" sqref="H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zoomScalePageLayoutView="70" workbookViewId="0">
      <selection activeCell="Z87" sqref="Z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15610</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6" t="s">
        <v>15611</v>
      </c>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t="s">
        <v>15612</v>
      </c>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t="s">
        <v>15613</v>
      </c>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t="s">
        <v>15614</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15615</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15616</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15617</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15615</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15618</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15616</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44400</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v>1</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9">
        <v>1</v>
      </c>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3" t="s">
        <v>15619</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85" zoomScaleNormal="85" zoomScalePageLayoutView="55" workbookViewId="0">
      <pane ySplit="4" topLeftCell="A5" activePane="bottomLeft" state="frozen"/>
      <selection pane="bottomLeft" activeCell="D28" sqref="D28"/>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51.7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
        <v>1131</v>
      </c>
      <c r="C5" s="219" t="s">
        <v>2370</v>
      </c>
      <c r="D5" s="278"/>
      <c r="E5" s="215" t="str">
        <f ca="1">IF(ISERROR($V5),"",OFFSET('Smelter Look-up'!$D$4,$V5-4,0)&amp;"")</f>
        <v>CHINA</v>
      </c>
      <c r="F5" s="215" t="str">
        <f ca="1">IF(ISERROR($V5),"",OFFSET('Smelter Look-up'!$E$4,$V5-4,0))</f>
        <v>CID002180</v>
      </c>
      <c r="G5" s="215" t="str">
        <f ca="1">IF(C5=$X$4,"Enter smelter details",IF(ISERROR($V5),"",OFFSET('Smelter Look-up'!$F$4,$V5-4,0)))</f>
        <v>RMI</v>
      </c>
      <c r="H5" s="216">
        <f ca="1">IF(ISERROR($V5),"",OFFSET('Smelter Look-up'!$G$4,$V5-4,0))</f>
        <v>0</v>
      </c>
      <c r="I5" s="217" t="str">
        <f ca="1">IF(ISERROR($V5),"",OFFSET('Smelter Look-up'!$H$4,$V5-4,0))</f>
        <v>Gejiu</v>
      </c>
      <c r="J5" s="217" t="str">
        <f ca="1">IF(ISERROR($V5),"",OFFSET('Smelter Look-up'!$I$4,$V5-4,0))</f>
        <v>Yunnan Sheng</v>
      </c>
      <c r="K5" s="268"/>
      <c r="L5" s="268"/>
      <c r="M5" s="268"/>
      <c r="N5" s="268"/>
      <c r="O5" s="268"/>
      <c r="P5" s="218"/>
      <c r="Q5" s="269"/>
      <c r="R5" s="215" t="str">
        <f ca="1">IF(ISERROR($V5),"",OFFSET('Smelter Look-up'!$C$4,$V5-4,0)&amp;"")</f>
        <v>Yunnan Tin Company Limited</v>
      </c>
      <c r="S5" s="222" t="str">
        <f t="shared" ref="S5" ca="1" si="0">IF(B5="","",IF(ISERROR(MATCH($E5,CL,0)),"Unknown",INDIRECT("'C'!$A$"&amp;MATCH($E5,CL,0)+1)))</f>
        <v>CN</v>
      </c>
      <c r="T5" s="222" t="str">
        <f ca="1">IF(B5="","",IF(ISERROR(MATCH($J5,SorP!$B$1:$B$6230,0)),"",INDIRECT("'SorP'!$A$"&amp;MATCH($J5,SorP!$B$1:$B$6230,0))))</f>
        <v>CN-YN</v>
      </c>
      <c r="U5" s="238"/>
      <c r="V5" s="270">
        <f>IF(C5="",NA(),MATCH($B5&amp;$C5,'Smelter Look-up'!$J:$J,0))</f>
        <v>524</v>
      </c>
      <c r="W5" s="271"/>
      <c r="X5" s="271">
        <f t="shared" ref="X5" ca="1" si="1">IF(AND(C5="Smelter not listed",OR(LEN(D5)=0,LEN(E5)=0)),1,0)</f>
        <v>0</v>
      </c>
      <c r="Y5" s="271"/>
      <c r="Z5" s="271"/>
      <c r="AB5" s="273" t="str">
        <f t="shared" ref="AB5" si="2">B5&amp;C5</f>
        <v>TinYunnan Tin Company Limited</v>
      </c>
    </row>
    <row r="6" spans="1:34" s="272" customFormat="1" ht="20.100000000000001" customHeight="1">
      <c r="A6" s="324"/>
      <c r="B6" s="215" t="s">
        <v>1131</v>
      </c>
      <c r="C6" s="219" t="s">
        <v>2365</v>
      </c>
      <c r="D6" s="278"/>
      <c r="E6" s="215" t="str">
        <f ca="1">IF(ISERROR($V6),"",OFFSET('Smelter Look-up'!$D$4,$V6-4,0)&amp;"")</f>
        <v>CHINA</v>
      </c>
      <c r="F6" s="215" t="str">
        <f ca="1">IF(ISERROR($V6),"",OFFSET('Smelter Look-up'!$E$4,$V6-4,0))</f>
        <v>CID001908</v>
      </c>
      <c r="G6" s="215" t="str">
        <f ca="1">IF(C6=$X$4,"Enter smelter details",IF(ISERROR($V6),"",OFFSET('Smelter Look-up'!$F$4,$V6-4,0)))</f>
        <v>RMI</v>
      </c>
      <c r="H6" s="216">
        <f ca="1">IF(ISERROR($V6),"",OFFSET('Smelter Look-up'!$G$4,$V6-4,0))</f>
        <v>0</v>
      </c>
      <c r="I6" s="217" t="str">
        <f ca="1">IF(ISERROR($V6),"",OFFSET('Smelter Look-up'!$H$4,$V6-4,0))</f>
        <v>Gejiu</v>
      </c>
      <c r="J6" s="217" t="str">
        <f ca="1">IF(ISERROR($V6),"",OFFSET('Smelter Look-up'!$I$4,$V6-4,0))</f>
        <v>Yunnan Sheng</v>
      </c>
      <c r="K6" s="268"/>
      <c r="L6" s="268"/>
      <c r="M6" s="268"/>
      <c r="N6" s="268"/>
      <c r="O6" s="268"/>
      <c r="P6" s="218"/>
      <c r="Q6" s="269"/>
      <c r="R6" s="215" t="str">
        <f ca="1">IF(ISERROR($V6),"",OFFSET('Smelter Look-up'!$C$4,$V6-4,0)&amp;"")</f>
        <v>Gejiu Yunxin Nonferrous Electrolysis Co., Ltd.</v>
      </c>
      <c r="S6" s="222" t="str">
        <f t="shared" ref="S6:S37" ca="1" si="3">IF(B6="","",IF(ISERROR(MATCH($E6,CL,0)),"Unknown",INDIRECT("'C'!$A$"&amp;MATCH($E6,CL,0)+1)))</f>
        <v>CN</v>
      </c>
      <c r="T6" s="222" t="str">
        <f ca="1">IF(B6="","",IF(ISERROR(MATCH($J6,SorP!$B$1:$B$6230,0)),"",INDIRECT("'SorP'!$A$"&amp;MATCH($J6,SorP!$B$1:$B$6230,0))))</f>
        <v>CN-YN</v>
      </c>
      <c r="U6" s="238"/>
      <c r="V6" s="270">
        <f>IF(C6="",NA(),MATCH($B6&amp;$C6,'Smelter Look-up'!$J:$J,0))</f>
        <v>521</v>
      </c>
      <c r="W6" s="271"/>
      <c r="X6" s="271">
        <f t="shared" ref="X6:X37" ca="1" si="4">IF(AND(C6="Smelter not listed",OR(LEN(D6)=0,LEN(E6)=0)),1,0)</f>
        <v>0</v>
      </c>
      <c r="Y6" s="271"/>
      <c r="Z6" s="271"/>
      <c r="AB6" s="273" t="str">
        <f t="shared" ref="AB6:AB37" si="5">B6&amp;C6</f>
        <v>TinYunNan Gejiu Yunxin Electrolyze Limited</v>
      </c>
    </row>
    <row r="7" spans="1:34" s="272" customFormat="1" ht="20.100000000000001" customHeight="1">
      <c r="A7" s="324"/>
      <c r="B7" s="215" t="s">
        <v>1131</v>
      </c>
      <c r="C7" s="219" t="s">
        <v>2568</v>
      </c>
      <c r="D7" s="278"/>
      <c r="E7" s="215" t="str">
        <f ca="1">IF(ISERROR($V7),"",OFFSET('Smelter Look-up'!$D$4,$V7-4,0)&amp;"")</f>
        <v>CHINA</v>
      </c>
      <c r="F7" s="215" t="str">
        <f ca="1">IF(ISERROR($V7),"",OFFSET('Smelter Look-up'!$E$4,$V7-4,0))</f>
        <v>CID002180</v>
      </c>
      <c r="G7" s="215" t="str">
        <f ca="1">IF(C7=$X$4,"Enter smelter details",IF(ISERROR($V7),"",OFFSET('Smelter Look-up'!$F$4,$V7-4,0)))</f>
        <v>RMI</v>
      </c>
      <c r="H7" s="216">
        <f ca="1">IF(ISERROR($V7),"",OFFSET('Smelter Look-up'!$G$4,$V7-4,0))</f>
        <v>0</v>
      </c>
      <c r="I7" s="217" t="str">
        <f ca="1">IF(ISERROR($V7),"",OFFSET('Smelter Look-up'!$H$4,$V7-4,0))</f>
        <v>Gejiu</v>
      </c>
      <c r="J7" s="217" t="str">
        <f ca="1">IF(ISERROR($V7),"",OFFSET('Smelter Look-up'!$I$4,$V7-4,0))</f>
        <v>Yunnan Sheng</v>
      </c>
      <c r="K7" s="268"/>
      <c r="L7" s="268"/>
      <c r="M7" s="268"/>
      <c r="N7" s="268"/>
      <c r="O7" s="268"/>
      <c r="P7" s="218"/>
      <c r="Q7" s="269" t="s">
        <v>15606</v>
      </c>
      <c r="R7" s="215" t="str">
        <f ca="1">IF(ISERROR($V7),"",OFFSET('Smelter Look-up'!$C$4,$V7-4,0)&amp;"")</f>
        <v>Yunnan Tin Company Limited</v>
      </c>
      <c r="S7" s="222" t="str">
        <f t="shared" ca="1" si="3"/>
        <v>CN</v>
      </c>
      <c r="T7" s="222" t="str">
        <f ca="1">IF(B7="","",IF(ISERROR(MATCH($J7,SorP!$B$1:$B$6230,0)),"",INDIRECT("'SorP'!$A$"&amp;MATCH($J7,SorP!$B$1:$B$6230,0))))</f>
        <v>CN-YN</v>
      </c>
      <c r="U7" s="238"/>
      <c r="V7" s="270">
        <f>IF(C7="",NA(),MATCH($B7&amp;$C7,'Smelter Look-up'!$J:$J,0))</f>
        <v>527</v>
      </c>
      <c r="W7" s="271"/>
      <c r="X7" s="271">
        <f t="shared" ca="1" si="4"/>
        <v>0</v>
      </c>
      <c r="Y7" s="271"/>
      <c r="Z7" s="271"/>
      <c r="AB7" s="273" t="str">
        <f t="shared" si="5"/>
        <v>TinYunnan Xi YE</v>
      </c>
    </row>
    <row r="8" spans="1:34" s="272" customFormat="1" ht="20.100000000000001" customHeight="1">
      <c r="A8" s="324"/>
      <c r="B8" s="215" t="s">
        <v>1131</v>
      </c>
      <c r="C8" s="219" t="s">
        <v>2245</v>
      </c>
      <c r="D8" s="278"/>
      <c r="E8" s="215" t="str">
        <f ca="1">IF(ISERROR($V8),"",OFFSET('Smelter Look-up'!$D$4,$V8-4,0)&amp;"")</f>
        <v>CHINA</v>
      </c>
      <c r="F8" s="215" t="str">
        <f ca="1">IF(ISERROR($V8),"",OFFSET('Smelter Look-up'!$E$4,$V8-4,0))</f>
        <v>CID002158</v>
      </c>
      <c r="G8" s="215" t="str">
        <f ca="1">IF(C8=$X$4,"Enter smelter details",IF(ISERROR($V8),"",OFFSET('Smelter Look-up'!$F$4,$V8-4,0)))</f>
        <v>RMI</v>
      </c>
      <c r="H8" s="216">
        <f ca="1">IF(ISERROR($V8),"",OFFSET('Smelter Look-up'!$G$4,$V8-4,0))</f>
        <v>0</v>
      </c>
      <c r="I8" s="217" t="str">
        <f ca="1">IF(ISERROR($V8),"",OFFSET('Smelter Look-up'!$H$4,$V8-4,0))</f>
        <v>Gejiu</v>
      </c>
      <c r="J8" s="217" t="str">
        <f ca="1">IF(ISERROR($V8),"",OFFSET('Smelter Look-up'!$I$4,$V8-4,0))</f>
        <v>Yunnan Sheng</v>
      </c>
      <c r="K8" s="268"/>
      <c r="L8" s="268"/>
      <c r="M8" s="268"/>
      <c r="N8" s="268"/>
      <c r="O8" s="268"/>
      <c r="P8" s="218"/>
      <c r="Q8" s="269" t="s">
        <v>15607</v>
      </c>
      <c r="R8" s="215" t="str">
        <f ca="1">IF(ISERROR($V8),"",OFFSET('Smelter Look-up'!$C$4,$V8-4,0)&amp;"")</f>
        <v>Yunnan Chengfeng Non-ferrous Metals Co., Ltd.</v>
      </c>
      <c r="S8" s="222" t="str">
        <f t="shared" ca="1" si="3"/>
        <v>CN</v>
      </c>
      <c r="T8" s="222" t="str">
        <f ca="1">IF(B8="","",IF(ISERROR(MATCH($J8,SorP!$B$1:$B$6230,0)),"",INDIRECT("'SorP'!$A$"&amp;MATCH($J8,SorP!$B$1:$B$6230,0))))</f>
        <v>CN-YN</v>
      </c>
      <c r="U8" s="238"/>
      <c r="V8" s="270">
        <f>IF(C8="",NA(),MATCH($B8&amp;$C8,'Smelter Look-up'!$J:$J,0))</f>
        <v>390</v>
      </c>
      <c r="W8" s="271"/>
      <c r="X8" s="271">
        <f t="shared" ca="1" si="4"/>
        <v>0</v>
      </c>
      <c r="Y8" s="271"/>
      <c r="Z8" s="271"/>
      <c r="AB8" s="273" t="str">
        <f t="shared" si="5"/>
        <v>TinChengfeng Metals Co Pte Ltd</v>
      </c>
    </row>
    <row r="9" spans="1:34" s="272" customFormat="1" ht="20.100000000000001" customHeight="1">
      <c r="A9" s="324"/>
      <c r="B9" s="215" t="s">
        <v>1131</v>
      </c>
      <c r="C9" s="219" t="s">
        <v>49</v>
      </c>
      <c r="D9" s="278"/>
      <c r="E9" s="215" t="str">
        <f ca="1">IF(ISERROR($V9),"",OFFSET('Smelter Look-up'!$D$4,$V9-4,0)&amp;"")</f>
        <v>UNITED STATES OF AMERICA</v>
      </c>
      <c r="F9" s="215" t="str">
        <f ca="1">IF(ISERROR($V9),"",OFFSET('Smelter Look-up'!$E$4,$V9-4,0))</f>
        <v>CID000292</v>
      </c>
      <c r="G9" s="215" t="str">
        <f ca="1">IF(C9=$X$4,"Enter smelter details",IF(ISERROR($V9),"",OFFSET('Smelter Look-up'!$F$4,$V9-4,0)))</f>
        <v>RMI</v>
      </c>
      <c r="H9" s="216">
        <f ca="1">IF(ISERROR($V9),"",OFFSET('Smelter Look-up'!$G$4,$V9-4,0))</f>
        <v>0</v>
      </c>
      <c r="I9" s="217" t="str">
        <f ca="1">IF(ISERROR($V9),"",OFFSET('Smelter Look-up'!$H$4,$V9-4,0))</f>
        <v>Altoona</v>
      </c>
      <c r="J9" s="217" t="str">
        <f ca="1">IF(ISERROR($V9),"",OFFSET('Smelter Look-up'!$I$4,$V9-4,0))</f>
        <v>Pennsylvania</v>
      </c>
      <c r="K9" s="268"/>
      <c r="L9" s="268"/>
      <c r="M9" s="268"/>
      <c r="N9" s="268"/>
      <c r="O9" s="268"/>
      <c r="P9" s="218"/>
      <c r="Q9" s="269" t="s">
        <v>15607</v>
      </c>
      <c r="R9" s="215" t="str">
        <f ca="1">IF(ISERROR($V9),"",OFFSET('Smelter Look-up'!$C$4,$V9-4,0)&amp;"")</f>
        <v>Alpha</v>
      </c>
      <c r="S9" s="222" t="str">
        <f t="shared" ca="1" si="3"/>
        <v>US</v>
      </c>
      <c r="T9" s="222" t="str">
        <f ca="1">IF(B9="","",IF(ISERROR(MATCH($J9,SorP!$B$1:$B$6230,0)),"",INDIRECT("'SorP'!$A$"&amp;MATCH($J9,SorP!$B$1:$B$6230,0))))</f>
        <v>US-PA</v>
      </c>
      <c r="U9" s="238"/>
      <c r="V9" s="270">
        <f>IF(C9="",NA(),MATCH($B9&amp;$C9,'Smelter Look-up'!$J:$J,0))</f>
        <v>384</v>
      </c>
      <c r="W9" s="271"/>
      <c r="X9" s="271">
        <f t="shared" ca="1" si="4"/>
        <v>0</v>
      </c>
      <c r="Y9" s="271"/>
      <c r="Z9" s="271"/>
      <c r="AB9" s="273" t="str">
        <f t="shared" si="5"/>
        <v>TinAlpha</v>
      </c>
    </row>
    <row r="10" spans="1:34" s="272" customFormat="1" ht="20.100000000000001" customHeight="1">
      <c r="A10" s="324"/>
      <c r="B10" s="215" t="s">
        <v>1131</v>
      </c>
      <c r="C10" s="219" t="s">
        <v>1816</v>
      </c>
      <c r="D10" s="278"/>
      <c r="E10" s="215" t="str">
        <f ca="1">IF(ISERROR($V10),"",OFFSET('Smelter Look-up'!$D$4,$V10-4,0)&amp;"")</f>
        <v>CHINA</v>
      </c>
      <c r="F10" s="215" t="str">
        <f ca="1">IF(ISERROR($V10),"",OFFSET('Smelter Look-up'!$E$4,$V10-4,0))</f>
        <v>CID001908</v>
      </c>
      <c r="G10" s="215" t="str">
        <f ca="1">IF(C10=$X$4,"Enter smelter details",IF(ISERROR($V10),"",OFFSET('Smelter Look-up'!$F$4,$V10-4,0)))</f>
        <v>RMI</v>
      </c>
      <c r="H10" s="216">
        <f ca="1">IF(ISERROR($V10),"",OFFSET('Smelter Look-up'!$G$4,$V10-4,0))</f>
        <v>0</v>
      </c>
      <c r="I10" s="217" t="str">
        <f ca="1">IF(ISERROR($V10),"",OFFSET('Smelter Look-up'!$H$4,$V10-4,0))</f>
        <v>Gejiu</v>
      </c>
      <c r="J10" s="217" t="str">
        <f ca="1">IF(ISERROR($V10),"",OFFSET('Smelter Look-up'!$I$4,$V10-4,0))</f>
        <v>Yunnan Sheng</v>
      </c>
      <c r="K10" s="268"/>
      <c r="L10" s="268"/>
      <c r="M10" s="268"/>
      <c r="N10" s="268"/>
      <c r="O10" s="268"/>
      <c r="P10" s="218"/>
      <c r="Q10" s="269" t="s">
        <v>15608</v>
      </c>
      <c r="R10" s="215" t="str">
        <f ca="1">IF(ISERROR($V10),"",OFFSET('Smelter Look-up'!$C$4,$V10-4,0)&amp;"")</f>
        <v>Gejiu Yunxin Nonferrous Electrolysis Co., Ltd.</v>
      </c>
      <c r="S10" s="222" t="str">
        <f t="shared" ca="1" si="3"/>
        <v>CN</v>
      </c>
      <c r="T10" s="222" t="str">
        <f ca="1">IF(B10="","",IF(ISERROR(MATCH($J10,SorP!$B$1:$B$6230,0)),"",INDIRECT("'SorP'!$A$"&amp;MATCH($J10,SorP!$B$1:$B$6230,0))))</f>
        <v>CN-YN</v>
      </c>
      <c r="U10" s="238"/>
      <c r="V10" s="270">
        <f>IF(C10="",NA(),MATCH($B10&amp;$C10,'Smelter Look-up'!$J:$J,0))</f>
        <v>517</v>
      </c>
      <c r="W10" s="271"/>
      <c r="X10" s="271">
        <f t="shared" ca="1" si="4"/>
        <v>0</v>
      </c>
      <c r="Y10" s="271"/>
      <c r="Z10" s="271"/>
      <c r="AB10" s="273" t="str">
        <f t="shared" si="5"/>
        <v>TinYunan Gejiu Yunxin Electrolyze Limited</v>
      </c>
    </row>
    <row r="11" spans="1:34" s="272" customFormat="1" ht="20.100000000000001" customHeight="1">
      <c r="A11" s="324"/>
      <c r="B11" s="215" t="s">
        <v>1131</v>
      </c>
      <c r="C11" s="219" t="s">
        <v>2183</v>
      </c>
      <c r="D11" s="278"/>
      <c r="E11" s="215" t="str">
        <f ca="1">IF(ISERROR($V11),"",OFFSET('Smelter Look-up'!$D$4,$V11-4,0)&amp;"")</f>
        <v>CHINA</v>
      </c>
      <c r="F11" s="215" t="str">
        <f ca="1">IF(ISERROR($V11),"",OFFSET('Smelter Look-up'!$E$4,$V11-4,0))</f>
        <v>CID002158</v>
      </c>
      <c r="G11" s="215" t="str">
        <f ca="1">IF(C11=$X$4,"Enter smelter details",IF(ISERROR($V11),"",OFFSET('Smelter Look-up'!$F$4,$V11-4,0)))</f>
        <v>RMI</v>
      </c>
      <c r="H11" s="216">
        <f ca="1">IF(ISERROR($V11),"",OFFSET('Smelter Look-up'!$G$4,$V11-4,0))</f>
        <v>0</v>
      </c>
      <c r="I11" s="217" t="str">
        <f ca="1">IF(ISERROR($V11),"",OFFSET('Smelter Look-up'!$H$4,$V11-4,0))</f>
        <v>Gejiu</v>
      </c>
      <c r="J11" s="217" t="str">
        <f ca="1">IF(ISERROR($V11),"",OFFSET('Smelter Look-up'!$I$4,$V11-4,0))</f>
        <v>Yunnan Sheng</v>
      </c>
      <c r="K11" s="268"/>
      <c r="L11" s="268"/>
      <c r="M11" s="268"/>
      <c r="N11" s="268"/>
      <c r="O11" s="268"/>
      <c r="P11" s="218"/>
      <c r="Q11" s="269"/>
      <c r="R11" s="215" t="str">
        <f ca="1">IF(ISERROR($V11),"",OFFSET('Smelter Look-up'!$C$4,$V11-4,0)&amp;"")</f>
        <v>Yunnan Chengfeng Non-ferrous Metals Co., Ltd.</v>
      </c>
      <c r="S11" s="222" t="str">
        <f t="shared" ca="1" si="3"/>
        <v>CN</v>
      </c>
      <c r="T11" s="222" t="str">
        <f ca="1">IF(B11="","",IF(ISERROR(MATCH($J11,SorP!$B$1:$B$6230,0)),"",INDIRECT("'SorP'!$A$"&amp;MATCH($J11,SorP!$B$1:$B$6230,0))))</f>
        <v>CN-YN</v>
      </c>
      <c r="U11" s="238"/>
      <c r="V11" s="270">
        <f>IF(C11="",NA(),MATCH($B11&amp;$C11,'Smelter Look-up'!$J:$J,0))</f>
        <v>520</v>
      </c>
      <c r="W11" s="271"/>
      <c r="X11" s="271">
        <f t="shared" ca="1" si="4"/>
        <v>0</v>
      </c>
      <c r="Y11" s="271"/>
      <c r="Z11" s="271"/>
      <c r="AB11" s="273" t="str">
        <f t="shared" si="5"/>
        <v>TinYunnan Chengfeng Non-ferrous Metals Co., Ltd.</v>
      </c>
    </row>
    <row r="12" spans="1:34" s="272" customFormat="1" ht="20.100000000000001" customHeight="1">
      <c r="A12" s="324"/>
      <c r="B12" s="215" t="s">
        <v>1131</v>
      </c>
      <c r="C12" s="219" t="s">
        <v>51</v>
      </c>
      <c r="D12" s="278"/>
      <c r="E12" s="215" t="str">
        <f ca="1">IF(ISERROR($V12),"",OFFSET('Smelter Look-up'!$D$4,$V12-4,0)&amp;"")</f>
        <v>CHINA</v>
      </c>
      <c r="F12" s="215" t="str">
        <f ca="1">IF(ISERROR($V12),"",OFFSET('Smelter Look-up'!$E$4,$V12-4,0))</f>
        <v>CID002180</v>
      </c>
      <c r="G12" s="215" t="str">
        <f ca="1">IF(C12=$X$4,"Enter smelter details",IF(ISERROR($V12),"",OFFSET('Smelter Look-up'!$F$4,$V12-4,0)))</f>
        <v>RMI</v>
      </c>
      <c r="H12" s="216">
        <f ca="1">IF(ISERROR($V12),"",OFFSET('Smelter Look-up'!$G$4,$V12-4,0))</f>
        <v>0</v>
      </c>
      <c r="I12" s="217" t="str">
        <f ca="1">IF(ISERROR($V12),"",OFFSET('Smelter Look-up'!$H$4,$V12-4,0))</f>
        <v>Gejiu</v>
      </c>
      <c r="J12" s="217" t="str">
        <f ca="1">IF(ISERROR($V12),"",OFFSET('Smelter Look-up'!$I$4,$V12-4,0))</f>
        <v>Yunnan Sheng</v>
      </c>
      <c r="K12" s="268"/>
      <c r="L12" s="268"/>
      <c r="M12" s="268"/>
      <c r="N12" s="268"/>
      <c r="O12" s="268"/>
      <c r="P12" s="218"/>
      <c r="Q12" s="269"/>
      <c r="R12" s="215" t="str">
        <f ca="1">IF(ISERROR($V12),"",OFFSET('Smelter Look-up'!$C$4,$V12-4,0)&amp;"")</f>
        <v>Yunnan Tin Company Limited</v>
      </c>
      <c r="S12" s="222" t="str">
        <f t="shared" ca="1" si="3"/>
        <v>CN</v>
      </c>
      <c r="T12" s="222" t="str">
        <f ca="1">IF(B12="","",IF(ISERROR(MATCH($J12,SorP!$B$1:$B$6230,0)),"",INDIRECT("'SorP'!$A$"&amp;MATCH($J12,SorP!$B$1:$B$6230,0))))</f>
        <v>CN-YN</v>
      </c>
      <c r="U12" s="238"/>
      <c r="V12" s="270">
        <f>IF(C12="",NA(),MATCH($B12&amp;$C12,'Smelter Look-up'!$J:$J,0))</f>
        <v>525</v>
      </c>
      <c r="W12" s="271"/>
      <c r="X12" s="271">
        <f t="shared" ca="1" si="4"/>
        <v>0</v>
      </c>
      <c r="Y12" s="271"/>
      <c r="Z12" s="271"/>
      <c r="AB12" s="273" t="str">
        <f t="shared" si="5"/>
        <v>TinYunnan Tin Company, Ltd.</v>
      </c>
    </row>
    <row r="13" spans="1:34" s="272" customFormat="1" ht="20.100000000000001" customHeight="1">
      <c r="A13" s="324"/>
      <c r="B13" s="215" t="s">
        <v>1131</v>
      </c>
      <c r="C13" s="219" t="s">
        <v>2363</v>
      </c>
      <c r="D13" s="278"/>
      <c r="E13" s="215" t="str">
        <f ca="1">IF(ISERROR($V13),"",OFFSET('Smelter Look-up'!$D$4,$V13-4,0)&amp;"")</f>
        <v>CHINA</v>
      </c>
      <c r="F13" s="215" t="str">
        <f ca="1">IF(ISERROR($V13),"",OFFSET('Smelter Look-up'!$E$4,$V13-4,0))</f>
        <v>CID000228</v>
      </c>
      <c r="G13" s="215" t="str">
        <f ca="1">IF(C13=$X$4,"Enter smelter details",IF(ISERROR($V13),"",OFFSET('Smelter Look-up'!$F$4,$V13-4,0)))</f>
        <v>RMI</v>
      </c>
      <c r="H13" s="216">
        <f ca="1">IF(ISERROR($V13),"",OFFSET('Smelter Look-up'!$G$4,$V13-4,0))</f>
        <v>0</v>
      </c>
      <c r="I13" s="217" t="str">
        <f ca="1">IF(ISERROR($V13),"",OFFSET('Smelter Look-up'!$H$4,$V13-4,0))</f>
        <v>Chenzhou</v>
      </c>
      <c r="J13" s="217" t="str">
        <f ca="1">IF(ISERROR($V13),"",OFFSET('Smelter Look-up'!$I$4,$V13-4,0))</f>
        <v>Hunan Sheng</v>
      </c>
      <c r="K13" s="268"/>
      <c r="L13" s="268"/>
      <c r="M13" s="268"/>
      <c r="N13" s="268"/>
      <c r="O13" s="268"/>
      <c r="P13" s="218"/>
      <c r="Q13" s="269"/>
      <c r="R13" s="215" t="str">
        <f ca="1">IF(ISERROR($V13),"",OFFSET('Smelter Look-up'!$C$4,$V13-4,0)&amp;"")</f>
        <v>Chenzhou Yunxiang Mining and Metallurgy Co., Ltd.</v>
      </c>
      <c r="S13" s="222" t="str">
        <f t="shared" ca="1" si="3"/>
        <v>CN</v>
      </c>
      <c r="T13" s="222" t="str">
        <f ca="1">IF(B13="","",IF(ISERROR(MATCH($J13,SorP!$B$1:$B$6230,0)),"",INDIRECT("'SorP'!$A$"&amp;MATCH($J13,SorP!$B$1:$B$6230,0))))</f>
        <v>CN-HN</v>
      </c>
      <c r="U13" s="238"/>
      <c r="V13" s="270">
        <f>IF(C13="",NA(),MATCH($B13&amp;$C13,'Smelter Look-up'!$J:$J,0))</f>
        <v>392</v>
      </c>
      <c r="W13" s="271"/>
      <c r="X13" s="271">
        <f t="shared" ca="1" si="4"/>
        <v>0</v>
      </c>
      <c r="Y13" s="271"/>
      <c r="Z13" s="271"/>
      <c r="AB13" s="273" t="str">
        <f t="shared" si="5"/>
        <v>TinChenzhou Yunxiang Mining and Metallurgy Co., Ltd.</v>
      </c>
    </row>
    <row r="14" spans="1:34" s="272" customFormat="1" ht="20.100000000000001" customHeight="1">
      <c r="A14" s="324"/>
      <c r="B14" s="215" t="s">
        <v>1131</v>
      </c>
      <c r="C14" s="219" t="s">
        <v>821</v>
      </c>
      <c r="D14" s="278"/>
      <c r="E14" s="215" t="str">
        <f ca="1">IF(ISERROR($V14),"",OFFSET('Smelter Look-up'!$D$4,$V14-4,0)&amp;"")</f>
        <v>MALAYSIA</v>
      </c>
      <c r="F14" s="215" t="str">
        <f ca="1">IF(ISERROR($V14),"",OFFSET('Smelter Look-up'!$E$4,$V14-4,0))</f>
        <v>CID001105</v>
      </c>
      <c r="G14" s="215" t="str">
        <f ca="1">IF(C14=$X$4,"Enter smelter details",IF(ISERROR($V14),"",OFFSET('Smelter Look-up'!$F$4,$V14-4,0)))</f>
        <v>RMI</v>
      </c>
      <c r="H14" s="216">
        <f ca="1">IF(ISERROR($V14),"",OFFSET('Smelter Look-up'!$G$4,$V14-4,0))</f>
        <v>0</v>
      </c>
      <c r="I14" s="217" t="str">
        <f ca="1">IF(ISERROR($V14),"",OFFSET('Smelter Look-up'!$H$4,$V14-4,0))</f>
        <v>Butterworth</v>
      </c>
      <c r="J14" s="217" t="str">
        <f ca="1">IF(ISERROR($V14),"",OFFSET('Smelter Look-up'!$I$4,$V14-4,0))</f>
        <v>Pulau Pinang</v>
      </c>
      <c r="K14" s="268"/>
      <c r="L14" s="268"/>
      <c r="M14" s="268"/>
      <c r="N14" s="268"/>
      <c r="O14" s="268"/>
      <c r="P14" s="218"/>
      <c r="Q14" s="269"/>
      <c r="R14" s="215" t="str">
        <f ca="1">IF(ISERROR($V14),"",OFFSET('Smelter Look-up'!$C$4,$V14-4,0)&amp;"")</f>
        <v>Malaysia Smelting Corporation (MSC)</v>
      </c>
      <c r="S14" s="222" t="str">
        <f t="shared" ca="1" si="3"/>
        <v>MY</v>
      </c>
      <c r="T14" s="222" t="str">
        <f ca="1">IF(B14="","",IF(ISERROR(MATCH($J14,SorP!$B$1:$B$6230,0)),"",INDIRECT("'SorP'!$A$"&amp;MATCH($J14,SorP!$B$1:$B$6230,0))))</f>
        <v>MY-07</v>
      </c>
      <c r="U14" s="238"/>
      <c r="V14" s="270">
        <f>IF(C14="",NA(),MATCH($B14&amp;$C14,'Smelter Look-up'!$J:$J,0))</f>
        <v>449</v>
      </c>
      <c r="W14" s="271"/>
      <c r="X14" s="271">
        <f t="shared" ca="1" si="4"/>
        <v>0</v>
      </c>
      <c r="Y14" s="271"/>
      <c r="Z14" s="271"/>
      <c r="AB14" s="273" t="str">
        <f t="shared" si="5"/>
        <v>TinMalaysia Smelting Corporation (MSC)</v>
      </c>
    </row>
    <row r="15" spans="1:34" s="272" customFormat="1" ht="20.100000000000001" customHeight="1">
      <c r="A15" s="324"/>
      <c r="B15" s="215" t="s">
        <v>1131</v>
      </c>
      <c r="C15" s="219" t="s">
        <v>2252</v>
      </c>
      <c r="D15" s="278"/>
      <c r="E15" s="215" t="str">
        <f ca="1">IF(ISERROR($V15),"",OFFSET('Smelter Look-up'!$D$4,$V15-4,0)&amp;"")</f>
        <v>MALAYSIA</v>
      </c>
      <c r="F15" s="215" t="str">
        <f ca="1">IF(ISERROR($V15),"",OFFSET('Smelter Look-up'!$E$4,$V15-4,0))</f>
        <v>CID001105</v>
      </c>
      <c r="G15" s="215" t="str">
        <f ca="1">IF(C15=$X$4,"Enter smelter details",IF(ISERROR($V15),"",OFFSET('Smelter Look-up'!$F$4,$V15-4,0)))</f>
        <v>RMI</v>
      </c>
      <c r="H15" s="216">
        <f ca="1">IF(ISERROR($V15),"",OFFSET('Smelter Look-up'!$G$4,$V15-4,0))</f>
        <v>0</v>
      </c>
      <c r="I15" s="217" t="str">
        <f ca="1">IF(ISERROR($V15),"",OFFSET('Smelter Look-up'!$H$4,$V15-4,0))</f>
        <v>Butterworth</v>
      </c>
      <c r="J15" s="217" t="str">
        <f ca="1">IF(ISERROR($V15),"",OFFSET('Smelter Look-up'!$I$4,$V15-4,0))</f>
        <v>Pulau Pinang</v>
      </c>
      <c r="K15" s="268"/>
      <c r="L15" s="268"/>
      <c r="M15" s="268"/>
      <c r="N15" s="268"/>
      <c r="O15" s="268"/>
      <c r="P15" s="218"/>
      <c r="Q15" s="269"/>
      <c r="R15" s="215" t="str">
        <f ca="1">IF(ISERROR($V15),"",OFFSET('Smelter Look-up'!$C$4,$V15-4,0)&amp;"")</f>
        <v>Malaysia Smelting Corporation (MSC)</v>
      </c>
      <c r="S15" s="222" t="str">
        <f t="shared" ca="1" si="3"/>
        <v>MY</v>
      </c>
      <c r="T15" s="222" t="str">
        <f ca="1">IF(B15="","",IF(ISERROR(MATCH($J15,SorP!$B$1:$B$6230,0)),"",INDIRECT("'SorP'!$A$"&amp;MATCH($J15,SorP!$B$1:$B$6230,0))))</f>
        <v>MY-07</v>
      </c>
      <c r="U15" s="238"/>
      <c r="V15" s="270">
        <f>IF(C15="",NA(),MATCH($B15&amp;$C15,'Smelter Look-up'!$J:$J,0))</f>
        <v>463</v>
      </c>
      <c r="W15" s="271"/>
      <c r="X15" s="271">
        <f t="shared" ca="1" si="4"/>
        <v>0</v>
      </c>
      <c r="Y15" s="271"/>
      <c r="Z15" s="271"/>
      <c r="AB15" s="273" t="str">
        <f t="shared" si="5"/>
        <v>TinMSC</v>
      </c>
    </row>
    <row r="16" spans="1:34" s="272" customFormat="1" ht="20.100000000000001" customHeight="1">
      <c r="A16" s="324"/>
      <c r="B16" s="215" t="s">
        <v>1130</v>
      </c>
      <c r="C16" s="219" t="s">
        <v>1677</v>
      </c>
      <c r="D16" s="278"/>
      <c r="E16" s="215" t="str">
        <f ca="1">IF(ISERROR($V16),"",OFFSET('Smelter Look-up'!$D$4,$V16-4,0)&amp;"")</f>
        <v>CHINA</v>
      </c>
      <c r="F16" s="215" t="str">
        <f ca="1">IF(ISERROR($V16),"",OFFSET('Smelter Look-up'!$E$4,$V16-4,0))</f>
        <v>CID001916</v>
      </c>
      <c r="G16" s="215" t="str">
        <f ca="1">IF(C16=$X$4,"Enter smelter details",IF(ISERROR($V16),"",OFFSET('Smelter Look-up'!$F$4,$V16-4,0)))</f>
        <v>RMI</v>
      </c>
      <c r="H16" s="216">
        <f ca="1">IF(ISERROR($V16),"",OFFSET('Smelter Look-up'!$G$4,$V16-4,0))</f>
        <v>0</v>
      </c>
      <c r="I16" s="217" t="str">
        <f ca="1">IF(ISERROR($V16),"",OFFSET('Smelter Look-up'!$H$4,$V16-4,0))</f>
        <v>Laizhou</v>
      </c>
      <c r="J16" s="217" t="str">
        <f ca="1">IF(ISERROR($V16),"",OFFSET('Smelter Look-up'!$I$4,$V16-4,0))</f>
        <v>Shandong Sheng</v>
      </c>
      <c r="K16" s="268"/>
      <c r="L16" s="268"/>
      <c r="M16" s="268"/>
      <c r="N16" s="268"/>
      <c r="O16" s="268"/>
      <c r="P16" s="218"/>
      <c r="Q16" s="269" t="s">
        <v>15609</v>
      </c>
      <c r="R16" s="215" t="str">
        <f ca="1">IF(ISERROR($V16),"",OFFSET('Smelter Look-up'!$C$4,$V16-4,0)&amp;"")</f>
        <v>Shandong Gold Smelting Co., Ltd.</v>
      </c>
      <c r="S16" s="222" t="str">
        <f t="shared" ca="1" si="3"/>
        <v>CN</v>
      </c>
      <c r="T16" s="222" t="str">
        <f ca="1">IF(B16="","",IF(ISERROR(MATCH($J16,SorP!$B$1:$B$6230,0)),"",INDIRECT("'SorP'!$A$"&amp;MATCH($J16,SorP!$B$1:$B$6230,0))))</f>
        <v>CN-SD</v>
      </c>
      <c r="U16" s="238"/>
      <c r="V16" s="270">
        <f>IF(C16="",NA(),MATCH($B16&amp;$C16,'Smelter Look-up'!$J:$J,0))</f>
        <v>233</v>
      </c>
      <c r="W16" s="271"/>
      <c r="X16" s="271">
        <f t="shared" ca="1" si="4"/>
        <v>0</v>
      </c>
      <c r="Y16" s="271"/>
      <c r="Z16" s="271"/>
      <c r="AB16" s="273" t="str">
        <f t="shared" si="5"/>
        <v>GoldShandong Gold Mine(Laizhou) Smelter Co., Ltd.</v>
      </c>
    </row>
    <row r="17" spans="1:28" s="272" customFormat="1" ht="20.100000000000001" customHeight="1">
      <c r="A17" s="324"/>
      <c r="B17" s="215" t="s">
        <v>1130</v>
      </c>
      <c r="C17" s="219" t="s">
        <v>1696</v>
      </c>
      <c r="D17" s="278"/>
      <c r="E17" s="215" t="str">
        <f ca="1">IF(ISERROR($V17),"",OFFSET('Smelter Look-up'!$D$4,$V17-4,0)&amp;"")</f>
        <v>CHINA</v>
      </c>
      <c r="F17" s="215" t="str">
        <f ca="1">IF(ISERROR($V17),"",OFFSET('Smelter Look-up'!$E$4,$V17-4,0))</f>
        <v>CID001622</v>
      </c>
      <c r="G17" s="215" t="str">
        <f ca="1">IF(C17=$X$4,"Enter smelter details",IF(ISERROR($V17),"",OFFSET('Smelter Look-up'!$F$4,$V17-4,0)))</f>
        <v>RMI</v>
      </c>
      <c r="H17" s="216">
        <f ca="1">IF(ISERROR($V17),"",OFFSET('Smelter Look-up'!$G$4,$V17-4,0))</f>
        <v>0</v>
      </c>
      <c r="I17" s="217" t="str">
        <f ca="1">IF(ISERROR($V17),"",OFFSET('Smelter Look-up'!$H$4,$V17-4,0))</f>
        <v>Zhaoyuan</v>
      </c>
      <c r="J17" s="217" t="str">
        <f ca="1">IF(ISERROR($V17),"",OFFSET('Smelter Look-up'!$I$4,$V17-4,0))</f>
        <v>Shandong Sheng</v>
      </c>
      <c r="K17" s="268"/>
      <c r="L17" s="268"/>
      <c r="M17" s="268"/>
      <c r="N17" s="268"/>
      <c r="O17" s="268"/>
      <c r="P17" s="218"/>
      <c r="Q17" s="269"/>
      <c r="R17" s="215" t="str">
        <f ca="1">IF(ISERROR($V17),"",OFFSET('Smelter Look-up'!$C$4,$V17-4,0)&amp;"")</f>
        <v>Shandong Zhaojin Gold &amp; Silver Refinery Co., Ltd.</v>
      </c>
      <c r="S17" s="222" t="str">
        <f t="shared" ca="1" si="3"/>
        <v>CN</v>
      </c>
      <c r="T17" s="222" t="str">
        <f ca="1">IF(B17="","",IF(ISERROR(MATCH($J17,SorP!$B$1:$B$6230,0)),"",INDIRECT("'SorP'!$A$"&amp;MATCH($J17,SorP!$B$1:$B$6230,0))))</f>
        <v>CN-SD</v>
      </c>
      <c r="U17" s="238"/>
      <c r="V17" s="270">
        <f>IF(C17="",NA(),MATCH($B17&amp;$C17,'Smelter Look-up'!$J:$J,0))</f>
        <v>304</v>
      </c>
      <c r="W17" s="271"/>
      <c r="X17" s="271">
        <f t="shared" ca="1" si="4"/>
        <v>0</v>
      </c>
      <c r="Y17" s="271"/>
      <c r="Z17" s="271"/>
      <c r="AB17" s="273" t="str">
        <f t="shared" si="5"/>
        <v>GoldZhao Yuan Gold Smelter of ZhongJin</v>
      </c>
    </row>
    <row r="18" spans="1:28" s="272" customFormat="1" ht="20.100000000000001" customHeight="1">
      <c r="A18" s="214"/>
      <c r="B18" s="215" t="s">
        <v>1130</v>
      </c>
      <c r="C18" s="219" t="s">
        <v>2176</v>
      </c>
      <c r="D18" s="278"/>
      <c r="E18" s="215" t="str">
        <f ca="1">IF(ISERROR($V18),"",OFFSET('Smelter Look-up'!$D$4,$V18-4,0)&amp;"")</f>
        <v>CHINA</v>
      </c>
      <c r="F18" s="215" t="str">
        <f ca="1">IF(ISERROR($V18),"",OFFSET('Smelter Look-up'!$E$4,$V18-4,0))</f>
        <v>CID001622</v>
      </c>
      <c r="G18" s="215" t="str">
        <f ca="1">IF(C18=$X$4,"Enter smelter details",IF(ISERROR($V18),"",OFFSET('Smelter Look-up'!$F$4,$V18-4,0)))</f>
        <v>RMI</v>
      </c>
      <c r="H18" s="216">
        <f ca="1">IF(ISERROR($V18),"",OFFSET('Smelter Look-up'!$G$4,$V18-4,0))</f>
        <v>0</v>
      </c>
      <c r="I18" s="217" t="str">
        <f ca="1">IF(ISERROR($V18),"",OFFSET('Smelter Look-up'!$H$4,$V18-4,0))</f>
        <v>Zhaoyuan</v>
      </c>
      <c r="J18" s="217" t="str">
        <f ca="1">IF(ISERROR($V18),"",OFFSET('Smelter Look-up'!$I$4,$V18-4,0))</f>
        <v>Shandong Sheng</v>
      </c>
      <c r="K18" s="268"/>
      <c r="L18" s="268"/>
      <c r="M18" s="268"/>
      <c r="N18" s="268"/>
      <c r="O18" s="268"/>
      <c r="P18" s="218"/>
      <c r="Q18" s="269"/>
      <c r="R18" s="215" t="str">
        <f ca="1">IF(ISERROR($V18),"",OFFSET('Smelter Look-up'!$C$4,$V18-4,0)&amp;"")</f>
        <v>Shandong Zhaojin Gold &amp; Silver Refinery Co., Ltd.</v>
      </c>
      <c r="S18" s="222" t="str">
        <f t="shared" ca="1" si="3"/>
        <v>CN</v>
      </c>
      <c r="T18" s="222" t="str">
        <f ca="1">IF(B18="","",IF(ISERROR(MATCH($J18,SorP!$B$1:$B$6230,0)),"",INDIRECT("'SorP'!$A$"&amp;MATCH($J18,SorP!$B$1:$B$6230,0))))</f>
        <v>CN-SD</v>
      </c>
      <c r="U18" s="238"/>
      <c r="V18" s="270">
        <f>IF(C18="",NA(),MATCH($B18&amp;$C18,'Smelter Look-up'!$J:$J,0))</f>
        <v>241</v>
      </c>
      <c r="W18" s="271"/>
      <c r="X18" s="271">
        <f t="shared" ca="1" si="4"/>
        <v>0</v>
      </c>
      <c r="Y18" s="271"/>
      <c r="Z18" s="271"/>
      <c r="AB18" s="273" t="str">
        <f t="shared" si="5"/>
        <v>GoldShandong Zhaojin Gold &amp; Silver Refinery Co., Ltd.</v>
      </c>
    </row>
    <row r="19" spans="1:28" s="272" customFormat="1" ht="18" customHeight="1">
      <c r="A19" s="214"/>
      <c r="B19" s="215" t="s">
        <v>1130</v>
      </c>
      <c r="C19" s="219" t="s">
        <v>22</v>
      </c>
      <c r="D19" s="278"/>
      <c r="E19" s="215" t="str">
        <f ca="1">IF(ISERROR($V19),"",OFFSET('Smelter Look-up'!$D$4,$V19-4,0)&amp;"")</f>
        <v>CHINA</v>
      </c>
      <c r="F19" s="215" t="str">
        <f ca="1">IF(ISERROR($V19),"",OFFSET('Smelter Look-up'!$E$4,$V19-4,0))</f>
        <v>CID001916</v>
      </c>
      <c r="G19" s="215" t="str">
        <f ca="1">IF(C19=$X$4,"Enter smelter details",IF(ISERROR($V19),"",OFFSET('Smelter Look-up'!$F$4,$V19-4,0)))</f>
        <v>RMI</v>
      </c>
      <c r="H19" s="216">
        <f ca="1">IF(ISERROR($V19),"",OFFSET('Smelter Look-up'!$G$4,$V19-4,0))</f>
        <v>0</v>
      </c>
      <c r="I19" s="217" t="str">
        <f ca="1">IF(ISERROR($V19),"",OFFSET('Smelter Look-up'!$H$4,$V19-4,0))</f>
        <v>Laizhou</v>
      </c>
      <c r="J19" s="217" t="str">
        <f ca="1">IF(ISERROR($V19),"",OFFSET('Smelter Look-up'!$I$4,$V19-4,0))</f>
        <v>Shandong Sheng</v>
      </c>
      <c r="K19" s="268"/>
      <c r="L19" s="268"/>
      <c r="M19" s="268"/>
      <c r="N19" s="268"/>
      <c r="O19" s="268"/>
      <c r="P19" s="218"/>
      <c r="Q19" s="269"/>
      <c r="R19" s="215" t="str">
        <f ca="1">IF(ISERROR($V19),"",OFFSET('Smelter Look-up'!$C$4,$V19-4,0)&amp;"")</f>
        <v>Shandong Gold Smelting Co., Ltd.</v>
      </c>
      <c r="S19" s="222" t="str">
        <f t="shared" ca="1" si="3"/>
        <v>CN</v>
      </c>
      <c r="T19" s="222" t="str">
        <f ca="1">IF(B19="","",IF(ISERROR(MATCH($J19,SorP!$B$1:$B$6230,0)),"",INDIRECT("'SorP'!$A$"&amp;MATCH($J19,SorP!$B$1:$B$6230,0))))</f>
        <v>CN-SD</v>
      </c>
      <c r="U19" s="238"/>
      <c r="V19" s="270">
        <f>IF(C19="",NA(),MATCH($B19&amp;$C19,'Smelter Look-up'!$J:$J,0))</f>
        <v>54</v>
      </c>
      <c r="W19" s="271"/>
      <c r="X19" s="271">
        <f t="shared" ca="1" si="4"/>
        <v>0</v>
      </c>
      <c r="Y19" s="271"/>
      <c r="Z19" s="271"/>
      <c r="AB19" s="273" t="str">
        <f t="shared" si="5"/>
        <v>GoldChina's Shandong Gold Mining Co., Ltd</v>
      </c>
    </row>
    <row r="20" spans="1:28" s="272" customFormat="1" ht="16.5" customHeight="1">
      <c r="A20" s="214"/>
      <c r="B20" s="215" t="s">
        <v>1130</v>
      </c>
      <c r="C20" s="219" t="s">
        <v>56</v>
      </c>
      <c r="D20" s="278"/>
      <c r="E20" s="215" t="str">
        <f ca="1">IF(ISERROR($V20),"",OFFSET('Smelter Look-up'!$D$4,$V20-4,0)&amp;"")</f>
        <v>KOREA, REPUBLIC OF</v>
      </c>
      <c r="F20" s="215" t="str">
        <f ca="1">IF(ISERROR($V20),"",OFFSET('Smelter Look-up'!$E$4,$V20-4,0))</f>
        <v>CID001078</v>
      </c>
      <c r="G20" s="215" t="str">
        <f ca="1">IF(C20=$X$4,"Enter smelter details",IF(ISERROR($V20),"",OFFSET('Smelter Look-up'!$F$4,$V20-4,0)))</f>
        <v>RMI</v>
      </c>
      <c r="H20" s="216">
        <f ca="1">IF(ISERROR($V20),"",OFFSET('Smelter Look-up'!$G$4,$V20-4,0))</f>
        <v>0</v>
      </c>
      <c r="I20" s="217" t="str">
        <f ca="1">IF(ISERROR($V20),"",OFFSET('Smelter Look-up'!$H$4,$V20-4,0))</f>
        <v>Onsan-eup</v>
      </c>
      <c r="J20" s="217" t="str">
        <f ca="1">IF(ISERROR($V20),"",OFFSET('Smelter Look-up'!$I$4,$V20-4,0))</f>
        <v>Ulsan-gwangyeoksi</v>
      </c>
      <c r="K20" s="268"/>
      <c r="L20" s="268"/>
      <c r="M20" s="268"/>
      <c r="N20" s="268"/>
      <c r="O20" s="268"/>
      <c r="P20" s="218"/>
      <c r="Q20" s="269"/>
      <c r="R20" s="215" t="str">
        <f ca="1">IF(ISERROR($V20),"",OFFSET('Smelter Look-up'!$C$4,$V20-4,0)&amp;"")</f>
        <v>LS-NIKKO Copper Inc.</v>
      </c>
      <c r="S20" s="222" t="str">
        <f t="shared" ca="1" si="3"/>
        <v>KR</v>
      </c>
      <c r="T20" s="222" t="str">
        <f ca="1">IF(B20="","",IF(ISERROR(MATCH($J20,SorP!$B$1:$B$6230,0)),"",INDIRECT("'SorP'!$A$"&amp;MATCH($J20,SorP!$B$1:$B$6230,0))))</f>
        <v>KR-31</v>
      </c>
      <c r="U20" s="238"/>
      <c r="V20" s="270">
        <f>IF(C20="",NA(),MATCH($B20&amp;$C20,'Smelter Look-up'!$J:$J,0))</f>
        <v>153</v>
      </c>
      <c r="W20" s="271"/>
      <c r="X20" s="271">
        <f t="shared" ca="1" si="4"/>
        <v>0</v>
      </c>
      <c r="Y20" s="271"/>
      <c r="Z20" s="271"/>
      <c r="AB20" s="273" t="str">
        <f t="shared" si="5"/>
        <v>GoldLS-NIKKO Copper Inc.</v>
      </c>
    </row>
    <row r="21" spans="1:28" s="272" customFormat="1" ht="20.25" customHeight="1">
      <c r="A21" s="214"/>
      <c r="B21" s="215" t="s">
        <v>1130</v>
      </c>
      <c r="C21" s="219" t="s">
        <v>2166</v>
      </c>
      <c r="D21" s="278"/>
      <c r="E21" s="215" t="str">
        <f ca="1">IF(ISERROR($V21),"",OFFSET('Smelter Look-up'!$D$4,$V21-4,0)&amp;"")</f>
        <v>CHINA</v>
      </c>
      <c r="F21" s="215" t="str">
        <f ca="1">IF(ISERROR($V21),"",OFFSET('Smelter Look-up'!$E$4,$V21-4,0))</f>
        <v>CID001149</v>
      </c>
      <c r="G21" s="215" t="str">
        <f ca="1">IF(C21=$X$4,"Enter smelter details",IF(ISERROR($V21),"",OFFSET('Smelter Look-up'!$F$4,$V21-4,0)))</f>
        <v>RMI</v>
      </c>
      <c r="H21" s="216">
        <f ca="1">IF(ISERROR($V21),"",OFFSET('Smelter Look-up'!$G$4,$V21-4,0))</f>
        <v>0</v>
      </c>
      <c r="I21" s="217" t="str">
        <f ca="1">IF(ISERROR($V21),"",OFFSET('Smelter Look-up'!$H$4,$V21-4,0))</f>
        <v>Kwai Chung</v>
      </c>
      <c r="J21" s="217" t="str">
        <f ca="1">IF(ISERROR($V21),"",OFFSET('Smelter Look-up'!$I$4,$V21-4,0))</f>
        <v>Hong Kong SAR</v>
      </c>
      <c r="K21" s="268"/>
      <c r="L21" s="268"/>
      <c r="M21" s="268"/>
      <c r="N21" s="268"/>
      <c r="O21" s="268"/>
      <c r="P21" s="218"/>
      <c r="Q21" s="269"/>
      <c r="R21" s="215" t="str">
        <f ca="1">IF(ISERROR($V21),"",OFFSET('Smelter Look-up'!$C$4,$V21-4,0)&amp;"")</f>
        <v>Metalor Technologies (Hong Kong) Ltd.</v>
      </c>
      <c r="S21" s="222" t="str">
        <f t="shared" ca="1" si="3"/>
        <v>CN</v>
      </c>
      <c r="T21" s="222" t="str">
        <f ca="1">IF(B21="","",IF(ISERROR(MATCH($J21,SorP!$B$1:$B$6230,0)),"",INDIRECT("'SorP'!$A$"&amp;MATCH($J21,SorP!$B$1:$B$6230,0))))</f>
        <v>CN-HK</v>
      </c>
      <c r="U21" s="238"/>
      <c r="V21" s="270">
        <f>IF(C21="",NA(),MATCH($B21&amp;$C21,'Smelter Look-up'!$J:$J,0))</f>
        <v>168</v>
      </c>
      <c r="W21" s="271"/>
      <c r="X21" s="271">
        <f t="shared" ca="1" si="4"/>
        <v>0</v>
      </c>
      <c r="Y21" s="271"/>
      <c r="Z21" s="271"/>
      <c r="AB21" s="273" t="str">
        <f t="shared" si="5"/>
        <v>GoldMetalor Technologies (Hong Kong) Ltd.</v>
      </c>
    </row>
    <row r="22" spans="1:28" s="272" customFormat="1" ht="21" customHeight="1">
      <c r="A22" s="214"/>
      <c r="B22" s="215" t="s">
        <v>1130</v>
      </c>
      <c r="C22" s="219" t="s">
        <v>915</v>
      </c>
      <c r="D22" s="278"/>
      <c r="E22" s="215" t="str">
        <f ca="1">IF(ISERROR($V22),"",OFFSET('Smelter Look-up'!$D$4,$V22-4,0)&amp;"")</f>
        <v>TAIWAN, PROVINCE OF CHINA</v>
      </c>
      <c r="F22" s="215" t="str">
        <f ca="1">IF(ISERROR($V22),"",OFFSET('Smelter Look-up'!$E$4,$V22-4,0))</f>
        <v>CID001761</v>
      </c>
      <c r="G22" s="215" t="str">
        <f ca="1">IF(C22=$X$4,"Enter smelter details",IF(ISERROR($V22),"",OFFSET('Smelter Look-up'!$F$4,$V22-4,0)))</f>
        <v>RMI</v>
      </c>
      <c r="H22" s="216">
        <f ca="1">IF(ISERROR($V22),"",OFFSET('Smelter Look-up'!$G$4,$V22-4,0))</f>
        <v>0</v>
      </c>
      <c r="I22" s="217" t="str">
        <f ca="1">IF(ISERROR($V22),"",OFFSET('Smelter Look-up'!$H$4,$V22-4,0))</f>
        <v>Tainan City</v>
      </c>
      <c r="J22" s="217" t="str">
        <f ca="1">IF(ISERROR($V22),"",OFFSET('Smelter Look-up'!$I$4,$V22-4,0))</f>
        <v>Tainan</v>
      </c>
      <c r="K22" s="268"/>
      <c r="L22" s="268"/>
      <c r="M22" s="268"/>
      <c r="N22" s="268"/>
      <c r="O22" s="268"/>
      <c r="P22" s="218"/>
      <c r="Q22" s="269"/>
      <c r="R22" s="215" t="str">
        <f ca="1">IF(ISERROR($V22),"",OFFSET('Smelter Look-up'!$C$4,$V22-4,0)&amp;"")</f>
        <v>Solar Applied Materials Technology Corp.</v>
      </c>
      <c r="S22" s="222" t="str">
        <f t="shared" ca="1" si="3"/>
        <v>TW</v>
      </c>
      <c r="T22" s="222" t="str">
        <f ca="1">IF(B22="","",IF(ISERROR(MATCH($J22,SorP!$B$1:$B$6230,0)),"",INDIRECT("'SorP'!$A$"&amp;MATCH($J22,SorP!$B$1:$B$6230,0))))</f>
        <v>TW-TNN</v>
      </c>
      <c r="U22" s="238"/>
      <c r="V22" s="270">
        <f>IF(C22="",NA(),MATCH($B22&amp;$C22,'Smelter Look-up'!$J:$J,0))</f>
        <v>252</v>
      </c>
      <c r="W22" s="271"/>
      <c r="X22" s="271">
        <f t="shared" ca="1" si="4"/>
        <v>0</v>
      </c>
      <c r="Y22" s="271"/>
      <c r="Z22" s="271"/>
      <c r="AB22" s="273" t="str">
        <f t="shared" si="5"/>
        <v>GoldSolar Applied Materials Technology Corp.</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6" sqref="C6"/>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Challenge Electronics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All products supplied by Challenge Electronics, to the best of our knowledge, conform to the following.</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Joshua Klyman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jklyman@challelec.com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16315952217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Joshua Klyman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jklyman@challelec.com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44400</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https://challengeelectronics.com/engineering/quality-management/</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29" sqref="C29"/>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Jason Li</cp:lastModifiedBy>
  <cp:lastPrinted>2015-04-21T20:47:43Z</cp:lastPrinted>
  <dcterms:created xsi:type="dcterms:W3CDTF">2010-06-21T21:00:23Z</dcterms:created>
  <dcterms:modified xsi:type="dcterms:W3CDTF">2021-07-23T17:37:22Z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